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OAU+tfuW+pU2HRxGQNkQ2d7dtgIF8gBbJM5B3nikfYEy/Tld0RlvBP+6h0cOsu7QAp78Wfa+ZQav6kgyaHudYQ==" workbookSaltValue="QMCic/vNI1yL3vXCg167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F9" i="2"/>
  <c r="M13" i="2"/>
  <c r="N13" i="2"/>
  <c r="AC10" i="11"/>
  <c r="H13" i="12"/>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7" i="17"/>
  <c r="AQ17" i="17" s="1"/>
  <c r="Y19" i="8"/>
  <c r="B17" i="6"/>
  <c r="AW18" i="21"/>
  <c r="B18" i="2"/>
  <c r="H12" i="2"/>
  <c r="BG10" i="8"/>
  <c r="K10" i="7" s="1"/>
  <c r="AB19" i="8"/>
  <c r="Z19" i="8"/>
  <c r="F9" i="11"/>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AQ15" i="11" s="1"/>
  <c r="H15" i="2"/>
  <c r="E15" i="6"/>
  <c r="K15" i="12" s="1"/>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Q10" i="11"/>
  <c r="E13" i="2"/>
  <c r="B10" i="6"/>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G21" i="11" s="1"/>
  <c r="W13" i="11"/>
  <c r="F13" i="12" s="1"/>
  <c r="D18" i="3"/>
  <c r="E18" i="3" s="1"/>
  <c r="AL18" i="11"/>
  <c r="U12" i="17"/>
  <c r="W13" i="16"/>
  <c r="M19" i="8"/>
  <c r="F19" i="7" s="1"/>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B19" i="7"/>
  <c r="D19" i="5"/>
  <c r="H13" i="2"/>
  <c r="BE13" i="13"/>
  <c r="BG13" i="13"/>
  <c r="C18" i="6"/>
  <c r="BB19" i="13"/>
  <c r="U13" i="17"/>
  <c r="BL9" i="11"/>
  <c r="P17" i="17"/>
  <c r="BK9" i="11"/>
  <c r="AO12" i="17"/>
  <c r="BM12" i="11"/>
  <c r="BJ15" i="11"/>
  <c r="R17" i="20"/>
  <c r="AZ15" i="11"/>
  <c r="AZ18" i="11" s="1"/>
  <c r="BV12" i="16"/>
  <c r="U10" i="17"/>
  <c r="AA16" i="16"/>
  <c r="T16" i="11"/>
  <c r="BI9" i="11"/>
  <c r="BH11" i="11"/>
  <c r="BH13" i="11" s="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BH10" i="16"/>
  <c r="BM17" i="11"/>
  <c r="BH16" i="11"/>
  <c r="BH18" i="11" s="1"/>
  <c r="BJ16" i="11"/>
  <c r="L10" i="2"/>
  <c r="L16" i="2"/>
  <c r="S15" i="14"/>
  <c r="V15" i="14" s="1"/>
  <c r="AA17" i="16"/>
  <c r="T17" i="20"/>
  <c r="U10" i="21"/>
  <c r="X16" i="20"/>
  <c r="S10" i="17"/>
  <c r="L9" i="2"/>
  <c r="L17" i="2"/>
  <c r="V15" i="20"/>
  <c r="BK10" i="11"/>
  <c r="BG16" i="11"/>
  <c r="AQ10" i="21"/>
  <c r="BG12" i="11"/>
  <c r="P12" i="11" s="1"/>
  <c r="AA15" i="16"/>
  <c r="BW10" i="20"/>
  <c r="BW21" i="20" s="1"/>
  <c r="BW12" i="20"/>
  <c r="BU11" i="17"/>
  <c r="BU21" i="17" s="1"/>
  <c r="BK17" i="11"/>
  <c r="BJ12" i="11"/>
  <c r="BH9" i="11"/>
  <c r="BK11" i="11"/>
  <c r="R12" i="14"/>
  <c r="R13" i="14" s="1"/>
  <c r="BL17" i="11"/>
  <c r="P17" i="11" s="1"/>
  <c r="BH17" i="16"/>
  <c r="T9" i="11"/>
  <c r="S10" i="14"/>
  <c r="V10" i="14" s="1"/>
  <c r="R11" i="14"/>
  <c r="AM9" i="11"/>
  <c r="T11" i="11"/>
  <c r="X16" i="17"/>
  <c r="AA9" i="16"/>
  <c r="V15" i="16"/>
  <c r="V12" i="16"/>
  <c r="AZ17" i="11"/>
  <c r="X12" i="16"/>
  <c r="AM16" i="11"/>
  <c r="AM12" i="11"/>
  <c r="AO9" i="17"/>
  <c r="AQ13" i="21"/>
  <c r="AP13" i="21"/>
  <c r="AO10" i="17"/>
  <c r="BH13" i="16"/>
  <c r="AP18" i="21"/>
  <c r="AA18" i="21"/>
  <c r="V10" i="21"/>
  <c r="V13" i="21" s="1"/>
  <c r="V19" i="21" s="1"/>
  <c r="AM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V18" i="20" l="1"/>
  <c r="V19" i="20"/>
  <c r="V12" i="14"/>
  <c r="V13" i="14" s="1"/>
  <c r="V19" i="14" s="1"/>
  <c r="S13" i="14"/>
  <c r="S19" i="14" s="1"/>
  <c r="AZ13" i="11"/>
  <c r="AZ19" i="11"/>
  <c r="BJ18" i="11"/>
  <c r="Q12" i="11"/>
  <c r="Q15" i="11"/>
  <c r="P15" i="11"/>
  <c r="BL18" i="11"/>
  <c r="BV13" i="16"/>
  <c r="BK18" i="11"/>
  <c r="Q16" i="11"/>
  <c r="BF18" i="11"/>
  <c r="P16" i="11"/>
  <c r="R18" i="20"/>
  <c r="R19" i="20"/>
  <c r="BK13" i="11"/>
  <c r="BK19" i="11" s="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<sst xmlns="http://schemas.openxmlformats.org/spreadsheetml/2006/main" count="2102" uniqueCount="918">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</sst>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IeT91JdwVlm0tFRu/DgSafgqhi3tygXFsrWL4WB4pPt3SoJxJdyBOTEMhRQ5qIUxOYohH2dE6+aXO4oP121dQ==" saltValue="S7RvmOXC5Xql/daFXhVS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47.964683115626514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128</v>
      </c>
      <c r="D10" s="224">
        <f>IF(ISNUMBER(Datos!I10),Datos!I10," - ")</f>
        <v>128</v>
      </c>
      <c r="E10" s="225">
        <f>IF(ISNUMBER(Datos!J10),Datos!J10," - ")</f>
        <v>35</v>
      </c>
      <c r="F10" s="225">
        <f>IF(ISNUMBER(Datos!K10),Datos!K10," - ")</f>
        <v>25</v>
      </c>
      <c r="G10" s="1033" t="str">
        <f>IF(Datos!E10&lt;&gt;"",Datos!E10,Datos!D10)</f>
        <v>37</v>
      </c>
      <c r="H10" s="226">
        <f>IF(ISNUMBER(Datos!L10),Datos!L10," - ")</f>
        <v>138</v>
      </c>
      <c r="I10" s="1043" t="str">
        <f>IF(ISNUMBER(Datos!AS10/Datos!BM10),Datos!AS10/Datos!BM10," - ")</f>
        <v xml:space="preserve"> - </v>
      </c>
      <c r="J10" s="1044">
        <f>IF(ISNUMBER(Datos!BY10/Datos!CN10),Datos!BY10/Datos!CN10," - ")</f>
        <v>0</v>
      </c>
      <c r="K10" s="229">
        <f t="shared" ref="K10:K12" si="1">IF(ISNUMBER((E10-F10)/C10),(E10-F10)/C10," - ")</f>
        <v>7.8125E-2</v>
      </c>
      <c r="L10" s="1024">
        <f>IF(ISNUMBER(NºAsuntos!I10/NºAsuntos!G10),(NºAsuntos!I10/NºAsuntos!G10)*11," - ")</f>
        <v>60.72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128</v>
      </c>
      <c r="D13" s="1048">
        <f>SUBTOTAL(9,D9:D12)</f>
        <v>128</v>
      </c>
      <c r="E13" s="1049">
        <f>SUBTOTAL(9,E9:E12)</f>
        <v>35</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2013</v>
      </c>
      <c r="D15" s="224">
        <f>IF(ISNUMBER(IF(D_I="SI",Datos!I15,Datos!I15+Datos!AC15)),IF(D_I="SI",Datos!I15,Datos!I15+Datos!AC15)," - ")</f>
        <v>1983</v>
      </c>
      <c r="E15" s="225">
        <f>IF(ISNUMBER(IF(D_I="SI",Datos!J15,Datos!J15+Datos!AD15)),IF(D_I="SI",Datos!J15,Datos!J15+Datos!AD15)," - ")</f>
        <v>2758</v>
      </c>
      <c r="F15" s="225">
        <f>IF(ISNUMBER(IF(D_I="SI",Datos!K15,Datos!K15+Datos!AE15)),IF(D_I="SI",Datos!K15,Datos!K15+Datos!AE15)," - ")</f>
        <v>2810</v>
      </c>
      <c r="G15" s="1033" t="str">
        <f>IF(Datos!E15&lt;&gt;"",Datos!E15,Datos!D15)</f>
        <v>03</v>
      </c>
      <c r="H15" s="226">
        <f>IF(ISNUMBER(IF(D_I="SI",Datos!L15,Datos!L15+Datos!AF15)),IF(D_I="SI",Datos!L15,Datos!L15+Datos!AF15)," - ")</f>
        <v>1961</v>
      </c>
      <c r="I15" s="1043" t="str">
        <f>IF(ISNUMBER(Datos!AS15/Datos!BM15),Datos!AS15/Datos!BM15," - ")</f>
        <v xml:space="preserve"> - </v>
      </c>
      <c r="J15" s="1044">
        <f>IF(ISNUMBER(Datos!BY15/Datos!CN15),Datos!BY15/Datos!CN15," - ")</f>
        <v>0</v>
      </c>
      <c r="K15" s="229">
        <f t="shared" ref="K15:K17" si="3">IF(ISNUMBER((E15-F15)/C15),(E15-F15)/C15," - ")</f>
        <v>-2.5832091405861898E-2</v>
      </c>
      <c r="L15" s="1024">
        <f>IF(ISNUMBER(NºAsuntos!I15/NºAsuntos!G15),(NºAsuntos!I15/NºAsuntos!G15)*11," - ")</f>
        <v>7.6765124555160149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325</v>
      </c>
      <c r="D17" s="224">
        <f>IF(ISNUMBER(IF(D_I="SI",Datos!I17,Datos!I17+Datos!AC17)),IF(D_I="SI",Datos!I17,Datos!I17+Datos!AC17)," - ")</f>
        <v>325</v>
      </c>
      <c r="E17" s="225">
        <f>IF(ISNUMBER(IF(D_I="SI",Datos!J17,Datos!J17+Datos!AD17)),IF(D_I="SI",Datos!J17,Datos!J17+Datos!AD17)," - ")</f>
        <v>312</v>
      </c>
      <c r="F17" s="225">
        <f>IF(ISNUMBER(IF(D_I="SI",Datos!K17,Datos!K17+Datos!AE17)),IF(D_I="SI",Datos!K17,Datos!K17+Datos!AE17)," - ")</f>
        <v>271</v>
      </c>
      <c r="G17" s="1033" t="str">
        <f>IF(Datos!E17&lt;&gt;"",Datos!E17,Datos!D17)</f>
        <v>37</v>
      </c>
      <c r="H17" s="226">
        <f>IF(ISNUMBER(IF(D_I="SI",Datos!L17,Datos!L17+Datos!AF17)),IF(D_I="SI",Datos!L17,Datos!L17+Datos!AF17)," - ")</f>
        <v>366</v>
      </c>
      <c r="I17" s="1043" t="str">
        <f>IF(ISNUMBER(Datos!AS17/Datos!BM17),Datos!AS17/Datos!BM17," - ")</f>
        <v xml:space="preserve"> - </v>
      </c>
      <c r="J17" s="1044" t="str">
        <f>IF(ISNUMBER((Datos!BY17+Datos!BZ17)/Datos!CN17),(Datos!BY17+Datos!BZ17)/Datos!CN17," - ")</f>
        <v xml:space="preserve"> - </v>
      </c>
      <c r="K17" s="229">
        <f t="shared" si="3"/>
        <v>0.12615384615384614</v>
      </c>
      <c r="L17" s="1024">
        <f>IF(ISNUMBER(NºAsuntos!I17/NºAsuntos!G17),(NºAsuntos!I17/NºAsuntos!G17)*11," - ")</f>
        <v>14.856088560885608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2338</v>
      </c>
      <c r="D18" s="1048">
        <f>SUBTOTAL(9,D15:D17)</f>
        <v>2308</v>
      </c>
      <c r="E18" s="1049">
        <f>SUBTOTAL(9,E15:E17)</f>
        <v>3070</v>
      </c>
      <c r="F18" s="1049">
        <f>SUBTOTAL(9,F15:F17)</f>
        <v>3081</v>
      </c>
      <c r="G18" s="1051" t="str">
        <f ca="1">INDIRECT(CONCATENATE("G",ROW()-1))</f>
        <v>37</v>
      </c>
      <c r="H18" s="1052">
        <f ca="1">SUMIF(G$14:G17,G18,H$14:H17)</f>
        <v>366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2466</v>
      </c>
      <c r="D19" s="1070">
        <f>SUBTOTAL(9,D9:D18)</f>
        <v>2436</v>
      </c>
      <c r="E19" s="1071">
        <f>SUBTOTAL(9,E9:E18)</f>
        <v>3105</v>
      </c>
      <c r="F19" s="1071">
        <f>SUBTOTAL(9,F9:F18)</f>
        <v>3106</v>
      </c>
      <c r="G19" s="1072"/>
      <c r="H19" s="1073">
        <f ca="1">SUMIF(B9:B18,"TOTAL",H9:H18)</f>
        <v>366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gnxhSXJE98ZoF7Kv8SdENfk/YdorloHpHf9bi+HLc+Z0yMALhUT5+CcqPJsoFEDgJmuRSpyIfO3p8+feJAJrw==" saltValue="XCiwxpX7ew+e95as3+mP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lnyvhMIg1rbMzZa6h74DJQcbnhFDpO9EvtkS/LqhWePO6or3ko+Lbg1PlSEuvprPOUT458plFjllsRg4gf1CA==" saltValue="e2Fq1Isao2vlrLOoKnOG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9005</v>
      </c>
      <c r="J9" s="180">
        <v>1781</v>
      </c>
      <c r="K9" s="180">
        <v>1994</v>
      </c>
      <c r="L9" s="180">
        <v>8829</v>
      </c>
      <c r="M9" s="180">
        <v>473</v>
      </c>
      <c r="N9" s="180">
        <v>988</v>
      </c>
      <c r="O9" s="180">
        <v>746</v>
      </c>
      <c r="P9" s="180">
        <v>371</v>
      </c>
      <c r="Q9" s="180">
        <v>189</v>
      </c>
      <c r="R9" s="180">
        <v>9217</v>
      </c>
      <c r="S9" s="180">
        <v>8301</v>
      </c>
      <c r="T9" s="180">
        <v>2690</v>
      </c>
      <c r="U9" s="180">
        <v>2285</v>
      </c>
      <c r="V9" s="180">
        <v>8861</v>
      </c>
      <c r="W9" s="180">
        <v>434</v>
      </c>
      <c r="X9" s="187">
        <v>1183</v>
      </c>
      <c r="Y9" s="190">
        <v>156</v>
      </c>
      <c r="Z9" s="180">
        <v>100</v>
      </c>
      <c r="AA9" s="180">
        <v>73</v>
      </c>
      <c r="AB9" s="180">
        <v>184</v>
      </c>
      <c r="AC9" s="180">
        <v>0</v>
      </c>
      <c r="AD9" s="180">
        <v>0</v>
      </c>
      <c r="AE9" s="180">
        <v>0</v>
      </c>
      <c r="AF9" s="187">
        <v>0</v>
      </c>
      <c r="AG9" s="190">
        <v>82</v>
      </c>
      <c r="AH9" s="180">
        <v>56</v>
      </c>
      <c r="AI9" s="180">
        <v>43</v>
      </c>
      <c r="AJ9" s="191">
        <v>113</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8383</v>
      </c>
      <c r="AZ9" s="123">
        <f>IF(ISNUMBER(IF(J_V="SI",T9,T9+AH9)),IF(J_V="SI",T9,T9+AH9)," - ")</f>
        <v>2746</v>
      </c>
      <c r="BA9" s="124">
        <f>IF(ISNUMBER(IF(J_V="SI",U9,U9+AI9)),IF(J_V="SI",U9,U9+AI9)," - ")</f>
        <v>2328</v>
      </c>
      <c r="BB9" s="124">
        <f>IF(ISNUMBER(IF(J_V="SI",V9,V9+AJ9)),IF(J_V="SI",V9,V9+AJ9)," - ")</f>
        <v>8974</v>
      </c>
      <c r="BC9" s="125">
        <f>IF(ISNUMBER(X9),X9," - ")</f>
        <v>1183</v>
      </c>
      <c r="BD9" s="126">
        <f>IF(ISNUMBER(BA9/AZ9),BA9/AZ9," - ")</f>
        <v>0.84777858703568831</v>
      </c>
      <c r="BE9" s="127">
        <f>IF(ISNUMBER(BB9/BA9),BB9/BA9, " - ")</f>
        <v>3.854810996563574</v>
      </c>
      <c r="BF9" s="127">
        <f>IF(ISNUMBER(BC9/BA9),BC9/BA9, " - ")</f>
        <v>0.50816151202749138</v>
      </c>
      <c r="BG9" s="195">
        <f>IF(ISNUMBER((AY9+AZ9)/BA9),(AY9+AZ9)/BA9," - ")</f>
        <v>4.7804982817869419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128</v>
      </c>
      <c r="J10" s="180">
        <v>35</v>
      </c>
      <c r="K10" s="180">
        <v>25</v>
      </c>
      <c r="L10" s="180">
        <v>138</v>
      </c>
      <c r="M10" s="180">
        <v>7</v>
      </c>
      <c r="N10" s="180">
        <v>13</v>
      </c>
      <c r="O10" s="180">
        <v>10</v>
      </c>
      <c r="P10" s="180">
        <v>3</v>
      </c>
      <c r="Q10" s="180">
        <v>32</v>
      </c>
      <c r="R10" s="180">
        <v>80</v>
      </c>
      <c r="S10" s="180">
        <v>125</v>
      </c>
      <c r="T10" s="180">
        <v>30</v>
      </c>
      <c r="U10" s="180">
        <v>42</v>
      </c>
      <c r="V10" s="180">
        <v>113</v>
      </c>
      <c r="W10" s="180">
        <v>19</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125</v>
      </c>
      <c r="AZ10" s="129">
        <f t="shared" si="0"/>
        <v>30</v>
      </c>
      <c r="BA10" s="129">
        <f t="shared" si="0"/>
        <v>42</v>
      </c>
      <c r="BB10" s="129">
        <f t="shared" si="0"/>
        <v>113</v>
      </c>
      <c r="BC10" s="125">
        <f t="shared" si="0"/>
        <v>19</v>
      </c>
      <c r="BD10" s="126">
        <f>IF(ISNUMBER(BA10/AZ10),BA10/AZ10," - ")</f>
        <v>1.4</v>
      </c>
      <c r="BE10" s="127">
        <f>IF(ISNUMBER(BB10/BA10),BB10/BA10, " - ")</f>
        <v>2.6904761904761907</v>
      </c>
      <c r="BF10" s="127">
        <f>IF(ISNUMBER(BC10/BA10),BC10/BA10, " - ")</f>
        <v>0.45238095238095238</v>
      </c>
      <c r="BG10" s="195">
        <f>IF(ISNUMBER((AY10+AZ10)/BA10),(AY10+AZ10)/BA10," - ")</f>
        <v>3.6904761904761907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9133</v>
      </c>
      <c r="J13" s="183">
        <f t="shared" si="6"/>
        <v>1816</v>
      </c>
      <c r="K13" s="183">
        <f t="shared" si="6"/>
        <v>2019</v>
      </c>
      <c r="L13" s="183">
        <f t="shared" si="6"/>
        <v>8967</v>
      </c>
      <c r="M13" s="183">
        <f t="shared" si="6"/>
        <v>480</v>
      </c>
      <c r="N13" s="183">
        <f t="shared" si="6"/>
        <v>1001</v>
      </c>
      <c r="O13" s="183">
        <f t="shared" si="6"/>
        <v>756</v>
      </c>
      <c r="P13" s="183">
        <f t="shared" si="6"/>
        <v>374</v>
      </c>
      <c r="Q13" s="183">
        <f t="shared" si="6"/>
        <v>221</v>
      </c>
      <c r="R13" s="183">
        <f t="shared" si="6"/>
        <v>9297</v>
      </c>
      <c r="S13" s="183">
        <f t="shared" si="6"/>
        <v>8426</v>
      </c>
      <c r="T13" s="183">
        <f t="shared" si="6"/>
        <v>2720</v>
      </c>
      <c r="U13" s="183">
        <f t="shared" si="6"/>
        <v>2327</v>
      </c>
      <c r="V13" s="183">
        <f t="shared" si="6"/>
        <v>8974</v>
      </c>
      <c r="W13" s="183">
        <f t="shared" si="6"/>
        <v>453</v>
      </c>
      <c r="X13" s="183">
        <f t="shared" si="6"/>
        <v>1199</v>
      </c>
      <c r="Y13" s="183">
        <f t="shared" si="6"/>
        <v>156</v>
      </c>
      <c r="Z13" s="183">
        <f t="shared" si="6"/>
        <v>100</v>
      </c>
      <c r="AA13" s="183">
        <f t="shared" si="6"/>
        <v>73</v>
      </c>
      <c r="AB13" s="183">
        <f t="shared" si="6"/>
        <v>184</v>
      </c>
      <c r="AC13" s="183">
        <f t="shared" si="6"/>
        <v>0</v>
      </c>
      <c r="AD13" s="183">
        <f t="shared" si="6"/>
        <v>0</v>
      </c>
      <c r="AE13" s="183">
        <f t="shared" si="6"/>
        <v>0</v>
      </c>
      <c r="AF13" s="183">
        <f>SUBTOTAL(9,AF9:AF12)</f>
        <v>0</v>
      </c>
      <c r="AG13" s="183">
        <f t="shared" ref="AG13:AT13" si="7">SUBTOTAL(9,AG8:AG12)</f>
        <v>82</v>
      </c>
      <c r="AH13" s="183">
        <f t="shared" si="7"/>
        <v>56</v>
      </c>
      <c r="AI13" s="183">
        <f t="shared" si="7"/>
        <v>43</v>
      </c>
      <c r="AJ13" s="183">
        <f t="shared" si="7"/>
        <v>113</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8508</v>
      </c>
      <c r="AZ13" s="183">
        <f>SUBTOTAL(9,AZ8:AZ12)</f>
        <v>2776</v>
      </c>
      <c r="BA13" s="183">
        <f>SUBTOTAL(9,BA8:BA12)</f>
        <v>2370</v>
      </c>
      <c r="BB13" s="183">
        <f>SUBTOTAL(9,BB8:BB12)</f>
        <v>9087</v>
      </c>
      <c r="BC13" s="183">
        <f>SUBTOTAL(9,BC8:BC12)</f>
        <v>1202</v>
      </c>
      <c r="BD13" s="204">
        <f>IF(ISNUMBER(BA13/AZ13),BA13/AZ13," - ")</f>
        <v>0.85374639769452454</v>
      </c>
      <c r="BE13" s="205">
        <f>IF(ISNUMBER(BB13/BA13),BB13/BA13, " - ")</f>
        <v>3.8341772151898734</v>
      </c>
      <c r="BF13" s="205">
        <f>IF(ISNUMBER(BC13/BA13),BC13/BA13, " - ")</f>
        <v>0.50717299578059072</v>
      </c>
      <c r="BG13" s="206">
        <f>IF(ISNUMBER((AY13+AZ13)/BA13),(AY13+AZ13)/BA13," - ")</f>
        <v>4.7611814345991563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1983</v>
      </c>
      <c r="J15" s="182">
        <v>2758</v>
      </c>
      <c r="K15" s="182">
        <v>2810</v>
      </c>
      <c r="L15" s="182">
        <v>1961</v>
      </c>
      <c r="M15" s="182">
        <v>359</v>
      </c>
      <c r="N15" s="182">
        <v>1878</v>
      </c>
      <c r="O15" s="180">
        <v>41</v>
      </c>
      <c r="P15" s="182">
        <v>75</v>
      </c>
      <c r="Q15" s="182">
        <v>49</v>
      </c>
      <c r="R15" s="182">
        <v>261</v>
      </c>
      <c r="S15" s="182">
        <v>1691</v>
      </c>
      <c r="T15" s="182">
        <v>2689</v>
      </c>
      <c r="U15" s="182">
        <v>2799</v>
      </c>
      <c r="V15" s="182">
        <v>1608</v>
      </c>
      <c r="W15" s="182">
        <v>301</v>
      </c>
      <c r="X15" s="188">
        <v>1844</v>
      </c>
      <c r="Y15" s="201">
        <v>0</v>
      </c>
      <c r="Z15" s="182">
        <v>0</v>
      </c>
      <c r="AA15" s="182">
        <v>0</v>
      </c>
      <c r="AB15" s="182">
        <v>0</v>
      </c>
      <c r="AC15" s="182">
        <v>0</v>
      </c>
      <c r="AD15" s="182">
        <v>3</v>
      </c>
      <c r="AE15" s="182">
        <v>3</v>
      </c>
      <c r="AF15" s="188">
        <v>0</v>
      </c>
      <c r="AG15" s="201">
        <v>0</v>
      </c>
      <c r="AH15" s="182">
        <v>0</v>
      </c>
      <c r="AI15" s="182">
        <v>0</v>
      </c>
      <c r="AJ15" s="202">
        <v>0</v>
      </c>
      <c r="AK15" s="181">
        <v>0</v>
      </c>
      <c r="AL15" s="182">
        <v>6</v>
      </c>
      <c r="AM15" s="182">
        <v>6</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1691</v>
      </c>
      <c r="AZ15" s="129">
        <f t="shared" si="9"/>
        <v>2689</v>
      </c>
      <c r="BA15" s="129">
        <f t="shared" si="9"/>
        <v>2799</v>
      </c>
      <c r="BB15" s="129">
        <f t="shared" si="9"/>
        <v>1608</v>
      </c>
      <c r="BC15" s="125">
        <f>IF(ISNUMBER(W15),W15," - ")</f>
        <v>301</v>
      </c>
      <c r="BD15" s="126">
        <f>IF(ISNUMBER(BA15/AZ15),BA15/AZ15," - ")</f>
        <v>1.0409074005206396</v>
      </c>
      <c r="BE15" s="127">
        <f>IF(ISNUMBER(BB15/BA15),BB15/BA15, " - ")</f>
        <v>0.57449088960342976</v>
      </c>
      <c r="BF15" s="127">
        <f>IF(ISNUMBER(BC15/BA15),BC15/BA15, " - ")</f>
        <v>0.10753840657377635</v>
      </c>
      <c r="BG15" s="195">
        <f t="shared" ref="BG15:BG16" si="10">IF(ISNUMBER((AY15+AZ15)/BA15),(AY15+AZ15)/BA15," - ")</f>
        <v>1.564844587352626</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325</v>
      </c>
      <c r="J17" s="182">
        <v>312</v>
      </c>
      <c r="K17" s="182">
        <v>271</v>
      </c>
      <c r="L17" s="182">
        <v>366</v>
      </c>
      <c r="M17" s="182">
        <v>22</v>
      </c>
      <c r="N17" s="182">
        <v>176</v>
      </c>
      <c r="O17" s="182">
        <v>4</v>
      </c>
      <c r="P17" s="182">
        <v>0</v>
      </c>
      <c r="Q17" s="182">
        <v>4</v>
      </c>
      <c r="R17" s="182">
        <v>6</v>
      </c>
      <c r="S17" s="182">
        <v>299</v>
      </c>
      <c r="T17" s="182">
        <v>309</v>
      </c>
      <c r="U17" s="182">
        <v>284</v>
      </c>
      <c r="V17" s="182">
        <v>290</v>
      </c>
      <c r="W17" s="182">
        <v>27</v>
      </c>
      <c r="X17" s="188">
        <v>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299</v>
      </c>
      <c r="AZ17" s="129">
        <f t="shared" si="14"/>
        <v>309</v>
      </c>
      <c r="BA17" s="129">
        <f t="shared" si="14"/>
        <v>284</v>
      </c>
      <c r="BB17" s="129">
        <f t="shared" si="14"/>
        <v>290</v>
      </c>
      <c r="BC17" s="125">
        <f>IF(ISNUMBER(W17),W17," - ")</f>
        <v>27</v>
      </c>
      <c r="BD17" s="126">
        <f>IF(ISNUMBER(BA17/AZ17),BA17/AZ17," - ")</f>
        <v>0.91909385113268605</v>
      </c>
      <c r="BE17" s="127">
        <f>IF(ISNUMBER(BB17/BA17),BB17/BA17, " - ")</f>
        <v>1.0211267605633803</v>
      </c>
      <c r="BF17" s="127">
        <f>IF(ISNUMBER(BC17/BA17),BC17/BA17, " - ")</f>
        <v>9.5070422535211266E-2</v>
      </c>
      <c r="BG17" s="195">
        <f>IF(ISNUMBER((AY17+AZ17)/BA17),(AY17+AZ17)/BA17," - ")</f>
        <v>2.140845070422535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2308</v>
      </c>
      <c r="J18" s="183">
        <f t="shared" si="15"/>
        <v>3070</v>
      </c>
      <c r="K18" s="183">
        <f t="shared" si="15"/>
        <v>3081</v>
      </c>
      <c r="L18" s="183">
        <f t="shared" si="15"/>
        <v>2327</v>
      </c>
      <c r="M18" s="183">
        <f t="shared" si="15"/>
        <v>381</v>
      </c>
      <c r="N18" s="183">
        <f t="shared" si="15"/>
        <v>2054</v>
      </c>
      <c r="O18" s="183">
        <f t="shared" si="15"/>
        <v>45</v>
      </c>
      <c r="P18" s="183">
        <f t="shared" si="15"/>
        <v>75</v>
      </c>
      <c r="Q18" s="183">
        <f t="shared" si="15"/>
        <v>53</v>
      </c>
      <c r="R18" s="183">
        <f t="shared" si="15"/>
        <v>267</v>
      </c>
      <c r="S18" s="183">
        <f t="shared" si="15"/>
        <v>1990</v>
      </c>
      <c r="T18" s="183">
        <f t="shared" si="15"/>
        <v>2998</v>
      </c>
      <c r="U18" s="183">
        <f t="shared" si="15"/>
        <v>3083</v>
      </c>
      <c r="V18" s="183">
        <f t="shared" si="15"/>
        <v>1898</v>
      </c>
      <c r="W18" s="183">
        <f t="shared" si="15"/>
        <v>328</v>
      </c>
      <c r="X18" s="183">
        <f t="shared" si="15"/>
        <v>1952</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1990</v>
      </c>
      <c r="AZ18" s="183">
        <f>SUBTOTAL(9,AZ14:AZ17)</f>
        <v>2998</v>
      </c>
      <c r="BA18" s="183">
        <f>SUBTOTAL(9,BA14:BA17)</f>
        <v>3083</v>
      </c>
      <c r="BB18" s="183">
        <f>SUBTOTAL(9,BB14:BB17)</f>
        <v>1898</v>
      </c>
      <c r="BC18" s="183">
        <f>SUBTOTAL(9,BC14:BC17)</f>
        <v>328</v>
      </c>
      <c r="BD18" s="204">
        <f>IF(ISNUMBER(BA18/AZ18),BA18/AZ18," - ")</f>
        <v>1.0283522348232155</v>
      </c>
      <c r="BE18" s="205">
        <f>IF(ISNUMBER(BB18/BA18),BB18/BA18, " - ")</f>
        <v>0.61563412260784944</v>
      </c>
      <c r="BF18" s="205">
        <f>IF(ISNUMBER(BC18/BA18),BC18/BA18, " - ")</f>
        <v>0.10638987998702562</v>
      </c>
      <c r="BG18" s="206">
        <f>IF(ISNUMBER((AY18+AZ18)/BA18),(AY18+AZ18)/BA18," - ")</f>
        <v>1.6179046383392799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11441</v>
      </c>
      <c r="J19" s="134">
        <f t="shared" si="18"/>
        <v>4886</v>
      </c>
      <c r="K19" s="134">
        <f t="shared" si="18"/>
        <v>5100</v>
      </c>
      <c r="L19" s="134">
        <f t="shared" si="18"/>
        <v>11294</v>
      </c>
      <c r="M19" s="134">
        <f t="shared" si="18"/>
        <v>861</v>
      </c>
      <c r="N19" s="134">
        <f t="shared" si="18"/>
        <v>3055</v>
      </c>
      <c r="O19" s="134">
        <f t="shared" si="18"/>
        <v>801</v>
      </c>
      <c r="P19" s="134">
        <f t="shared" si="18"/>
        <v>449</v>
      </c>
      <c r="Q19" s="134">
        <f t="shared" si="18"/>
        <v>274</v>
      </c>
      <c r="R19" s="134">
        <f t="shared" si="18"/>
        <v>9564</v>
      </c>
      <c r="S19" s="134">
        <f t="shared" si="18"/>
        <v>10416</v>
      </c>
      <c r="T19" s="134">
        <f t="shared" si="18"/>
        <v>5718</v>
      </c>
      <c r="U19" s="134">
        <f t="shared" si="18"/>
        <v>5410</v>
      </c>
      <c r="V19" s="134">
        <f t="shared" si="18"/>
        <v>10872</v>
      </c>
      <c r="W19" s="134">
        <f t="shared" si="18"/>
        <v>781</v>
      </c>
      <c r="X19" s="134">
        <f t="shared" si="18"/>
        <v>3151</v>
      </c>
      <c r="Y19" s="134">
        <f t="shared" si="18"/>
        <v>156</v>
      </c>
      <c r="Z19" s="134">
        <f t="shared" si="18"/>
        <v>100</v>
      </c>
      <c r="AA19" s="134">
        <f t="shared" si="18"/>
        <v>73</v>
      </c>
      <c r="AB19" s="134">
        <f t="shared" si="18"/>
        <v>184</v>
      </c>
      <c r="AC19" s="134">
        <f t="shared" si="18"/>
        <v>0</v>
      </c>
      <c r="AD19" s="134">
        <f t="shared" si="18"/>
        <v>3</v>
      </c>
      <c r="AE19" s="134">
        <f t="shared" si="18"/>
        <v>3</v>
      </c>
      <c r="AF19" s="134">
        <f t="shared" si="18"/>
        <v>0</v>
      </c>
      <c r="AG19" s="134">
        <f t="shared" si="18"/>
        <v>82</v>
      </c>
      <c r="AH19" s="134">
        <f t="shared" si="18"/>
        <v>56</v>
      </c>
      <c r="AI19" s="134">
        <f t="shared" si="18"/>
        <v>43</v>
      </c>
      <c r="AJ19" s="134">
        <f t="shared" si="18"/>
        <v>113</v>
      </c>
      <c r="AK19" s="134">
        <f t="shared" si="18"/>
        <v>0</v>
      </c>
      <c r="AL19" s="134">
        <f t="shared" si="18"/>
        <v>6</v>
      </c>
      <c r="AM19" s="134">
        <f t="shared" si="18"/>
        <v>6</v>
      </c>
      <c r="AN19" s="209">
        <f t="shared" si="18"/>
        <v>0</v>
      </c>
      <c r="AO19" s="210">
        <v>10</v>
      </c>
      <c r="AP19" s="210">
        <v>10</v>
      </c>
      <c r="AQ19" s="210">
        <v>10</v>
      </c>
      <c r="AR19" s="210">
        <v>10</v>
      </c>
      <c r="AS19" s="152">
        <f t="shared" si="18"/>
        <v>0</v>
      </c>
      <c r="AT19" s="152">
        <f t="shared" si="18"/>
        <v>0</v>
      </c>
      <c r="AU19" s="210"/>
      <c r="AV19" s="211"/>
      <c r="AW19" s="210"/>
      <c r="AX19" s="211"/>
      <c r="AY19" s="133">
        <f>SUBTOTAL(9,AY9:AY18)</f>
        <v>10498</v>
      </c>
      <c r="AZ19" s="134">
        <f>SUBTOTAL(9,AZ9:AZ18)</f>
        <v>5774</v>
      </c>
      <c r="BA19" s="134">
        <f>SUBTOTAL(9,BA9:BA18)</f>
        <v>5453</v>
      </c>
      <c r="BB19" s="134">
        <f>SUBTOTAL(9,BB9:BB18)</f>
        <v>10985</v>
      </c>
      <c r="BC19" s="135">
        <f>SUBTOTAL(9,BC9:BC18)</f>
        <v>1530</v>
      </c>
      <c r="BD19" s="212">
        <f>IF(ISNUMBER(BA19/AZ19),BA19/AZ19," - ")</f>
        <v>0.9444059577416003</v>
      </c>
      <c r="BE19" s="209">
        <f>IF(ISNUMBER(BB19/BA19),BB19/BA19, " - ")</f>
        <v>2.014487438107464</v>
      </c>
      <c r="BF19" s="209">
        <f>IF(ISNUMBER(BC19/BA19),BC19/BA19, " - ")</f>
        <v>0.28057949752429856</v>
      </c>
      <c r="BG19" s="135">
        <f>IF(ISNUMBER((AY19+AZ19)/BA19),(AY19+AZ19)/BA19," - ")</f>
        <v>2.98404547955254</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ts5WtIPCWr54MGZ1Vf0QaQhJjW1y5HwcMbD3zxI8cZeAFFiu455LktzJ1A9njUHo+CDqH2gOwgV1b3N551Cg==" saltValue="q1rkiE9KczdWJIZsjlKU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CmCZBrsdB7n+YmNM1C8PqSZXuHVrzM+gw+rhQiif2kvJetLXQbuc6b7X1Bx3YW/uKz3larrN5yOvoFc4zYIQ==" saltValue="a/IkpIpv5nsT8OAroYtT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FUENGIROLA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100</v>
      </c>
      <c r="O9" s="333"/>
      <c r="P9" s="333"/>
      <c r="Q9" s="225">
        <f>IF(ISNUMBER(Datos!P9),Datos!P9,0)</f>
        <v>371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184</v>
      </c>
      <c r="AI9" s="333" t="str">
        <f>IF(ISNUMBER(Datos!CD9),Datos!CD9,"-")</f>
        <v>-</v>
      </c>
      <c r="AJ9" s="333" t="str">
        <f>IF(ISNUMBER(Datos!EN9),Datos!EN9," - ")</f>
        <v xml:space="preserve"> - </v>
      </c>
      <c r="AK9" s="333"/>
      <c r="AL9" s="478"/>
      <c r="AM9" s="334">
        <f>IF(ISNUMBER(Datos!R9),Datos!R9," - ")</f>
        <v>9217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473</v>
      </c>
      <c r="BD9" s="228">
        <f>IF(ISNUMBER(Datos!N9),Datos!N9," - ")</f>
        <v>988</v>
      </c>
      <c r="BE9" s="228" t="str">
        <f>IF(ISNUMBER(Datos!BW9),Datos!BW9," - ")</f>
        <v xml:space="preserve"> - </v>
      </c>
      <c r="BF9" s="227" t="str">
        <f>IF(ISNUMBER(Datos!BX9),Datos!BX9," - ")</f>
        <v xml:space="preserve"> - </v>
      </c>
      <c r="BG9" s="242">
        <f>IF(ISNUMBER(IF(J_V="SI",Datos!K9/Datos!J9,(Datos!K9+Datos!AA9)/(Datos!J9+Datos!Z9))),IF(J_V="SI",Datos!K9/Datos!J9,(Datos!K9+Datos!AA9)/(Datos!J9+Datos!Z9))," - ")</f>
        <v>1.098883572567783</v>
      </c>
      <c r="BH9" s="259">
        <f>IF(ISNUMBER(((IF(J_V="SI",Datos!L9/Datos!K9,(Datos!L9+Datos!AB9)/(Datos!K9+Datos!AA9)))*11)/factor_trimestre),((IF(J_V="SI",Datos!L9/Datos!K9,(Datos!L9+Datos!AB9)/(Datos!K9+Datos!AA9)))*11)/factor_trimestre," - ")</f>
        <v>13.081277213352687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2.0143884892086329E-2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128</v>
      </c>
      <c r="G10" s="332">
        <f>IF(ISNUMBER(Datos!I10),Datos!I10," - ")</f>
        <v>128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32</v>
      </c>
      <c r="AD10" s="333"/>
      <c r="AE10" s="483"/>
      <c r="AF10" s="331">
        <f>IF(ISNUMBER(Datos!L10),Datos!L10,"-")</f>
        <v>138</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13</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16.559999999999999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-0.26605504587155965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128</v>
      </c>
      <c r="G13" s="897">
        <f t="shared" si="0"/>
        <v>128</v>
      </c>
      <c r="H13" s="898">
        <f t="shared" si="0"/>
        <v>0</v>
      </c>
      <c r="I13" s="897">
        <f t="shared" si="0"/>
        <v>0</v>
      </c>
      <c r="J13" s="866">
        <f t="shared" si="0"/>
        <v>0</v>
      </c>
      <c r="K13" s="866">
        <f t="shared" si="0"/>
        <v>0</v>
      </c>
      <c r="L13" s="898">
        <f t="shared" si="0"/>
        <v>0</v>
      </c>
      <c r="M13" s="898">
        <f t="shared" si="0"/>
        <v>0</v>
      </c>
      <c r="N13" s="898">
        <f t="shared" si="0"/>
        <v>100</v>
      </c>
      <c r="O13" s="899">
        <f t="shared" si="0"/>
        <v>0</v>
      </c>
      <c r="P13" s="899">
        <f t="shared" si="0"/>
        <v>0</v>
      </c>
      <c r="Q13" s="898">
        <f t="shared" si="0"/>
        <v>374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221</v>
      </c>
      <c r="AD13" s="898">
        <f t="shared" si="1"/>
        <v>0</v>
      </c>
      <c r="AE13" s="898">
        <f t="shared" si="1"/>
        <v>0</v>
      </c>
      <c r="AF13" s="898">
        <f t="shared" si="1"/>
        <v>138</v>
      </c>
      <c r="AG13" s="898">
        <f t="shared" si="1"/>
        <v>0</v>
      </c>
      <c r="AH13" s="898">
        <f t="shared" si="1"/>
        <v>184</v>
      </c>
      <c r="AI13" s="898">
        <f t="shared" si="1"/>
        <v>0</v>
      </c>
      <c r="AJ13" s="898">
        <f t="shared" si="1"/>
        <v>0</v>
      </c>
      <c r="AK13" s="898">
        <f t="shared" si="1"/>
        <v>0</v>
      </c>
      <c r="AL13" s="898">
        <f t="shared" si="1"/>
        <v>0</v>
      </c>
      <c r="AM13" s="898">
        <f t="shared" si="1"/>
        <v>9297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480</v>
      </c>
      <c r="BD13" s="898">
        <f t="shared" si="1"/>
        <v>1001</v>
      </c>
      <c r="BE13" s="898">
        <f t="shared" si="1"/>
        <v>0</v>
      </c>
      <c r="BF13" s="898">
        <f t="shared" si="1"/>
        <v>0</v>
      </c>
      <c r="BG13" s="898">
        <f>IF(ISNUMBER(Datos!K13/Datos!J13),Datos!K13/Datos!J13," - ")</f>
        <v>1.1117841409691629</v>
      </c>
      <c r="BH13" s="902">
        <f>IF(ISNUMBER(((Datos!L13/Datos!K13)*11)/factor_trimestre),((Datos!L13/Datos!K13)*11)/factor_trimestre," - ")</f>
        <v>13.323922734026747</v>
      </c>
      <c r="BI13" s="898">
        <f>IF(ISNUMBER('Resol  Asuntos'!D13/NºAsuntos!G13),'Resol  Asuntos'!D13/NºAsuntos!G13," - ")</f>
        <v>0.2294455066921606</v>
      </c>
      <c r="BJ13" s="898" t="str">
        <f>IF(ISNUMBER(Datos!CI13/Datos!CJ13),Datos!CI13/Datos!CJ13," - ")</f>
        <v xml:space="preserve"> - </v>
      </c>
      <c r="BK13" s="898">
        <f>SUBTOTAL(9,BK8:BK12)</f>
        <v>0</v>
      </c>
      <c r="BL13" s="898">
        <f>IF(ISNUMBER((I13-AB13+L13)/(F13)),(I13-AB13+L13)/(F13)," - ")</f>
        <v>-0.1953125</v>
      </c>
      <c r="BM13" s="903">
        <f>SUBTOTAL(9,BM9:BM12)</f>
        <v>-0.24591116097947333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2013</v>
      </c>
      <c r="G15" s="597">
        <f>IF(ISNUMBER(IF(D_I="SI",Datos!I15,Datos!I15+Datos!AC15)),IF(D_I="SI",Datos!I15,Datos!I15+Datos!AC15)," - ")</f>
        <v>1983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2810</v>
      </c>
      <c r="AC15" s="225">
        <f>IF(ISNUMBER(Datos!Q15),Datos!Q15," - ")</f>
        <v>49</v>
      </c>
      <c r="AD15" s="333"/>
      <c r="AE15" s="483"/>
      <c r="AF15" s="595">
        <f>IF(ISNUMBER(IF(D_I="SI",Datos!L15,Datos!L15+Datos!AF15)),IF(D_I="SI",Datos!L15,Datos!L15+Datos!AF15)," - ")</f>
        <v>1961</v>
      </c>
      <c r="AG15" s="333"/>
      <c r="AH15" s="333"/>
      <c r="AI15" s="333"/>
      <c r="AJ15" s="333"/>
      <c r="AK15" s="333"/>
      <c r="AL15" s="478"/>
      <c r="AM15" s="334">
        <f>IF(ISNUMBER(Datos!R15),Datos!R15," - ")</f>
        <v>261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359</v>
      </c>
      <c r="BD15" s="228">
        <f>IF(ISNUMBER(Datos!N15),Datos!N15," - ")</f>
        <v>1878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1.0188542422044959</v>
      </c>
      <c r="BH15" s="259">
        <f>IF(ISNUMBER(((IF(D_I="SI",Datos!L15/Datos!K15,(Datos!L15+Datos!AF15)/(Datos!K15+Datos!AE15)))*11)/factor_trimestre),((IF(D_I="SI",Datos!L15/Datos!K15,(Datos!L15+Datos!AF15)/(Datos!K15+Datos!AE15)))*11)/factor_trimestre," - ")</f>
        <v>2.0935943060498223</v>
      </c>
      <c r="BI15" s="242">
        <f>IF(ISNUMBER('Resol  Asuntos'!D15/NºAsuntos!G15),'Resol  Asuntos'!D15/NºAsuntos!G15," - ")</f>
        <v>0.12775800711743773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271</v>
      </c>
      <c r="AC17" s="225">
        <f>IF(ISNUMBER(Datos!Q17),Datos!Q17," - ")</f>
        <v>4</v>
      </c>
      <c r="AD17" s="333"/>
      <c r="AE17" s="483"/>
      <c r="AF17" s="331">
        <f>IF(ISNUMBER(Datos!L17),Datos!L17,"-")</f>
        <v>366</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176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0.86858974358974361</v>
      </c>
      <c r="BH17" s="259">
        <f>IF(ISNUMBER(((IF(D_I="SI",Datos!L17/Datos!K17,(Datos!L17+Datos!AF17)/(Datos!K17+Datos!AE17)))*11)/factor_trimestre),((IF(D_I="SI",Datos!L17/Datos!K17,(Datos!L17+Datos!AF17)/(Datos!K17+Datos!AE17)))*11)/factor_trimestre," - ")</f>
        <v>4.0516605166051658</v>
      </c>
      <c r="BI17" s="242">
        <f>IF(ISNUMBER('Resol  Asuntos'!D17/NºAsuntos!G17),'Resol  Asuntos'!D17/NºAsuntos!G17," - ")</f>
        <v>8.1180811808118078E-2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2013</v>
      </c>
      <c r="G18" s="897">
        <f>SUBTOTAL(9,G15:G17)</f>
        <v>2308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3081</v>
      </c>
      <c r="AC18" s="898">
        <f t="shared" si="4"/>
        <v>53</v>
      </c>
      <c r="AD18" s="898">
        <f t="shared" si="4"/>
        <v>0</v>
      </c>
      <c r="AE18" s="898">
        <f t="shared" si="4"/>
        <v>0</v>
      </c>
      <c r="AF18" s="898">
        <f t="shared" si="4"/>
        <v>2327</v>
      </c>
      <c r="AG18" s="898">
        <f t="shared" si="4"/>
        <v>0</v>
      </c>
      <c r="AH18" s="898">
        <f t="shared" si="4"/>
        <v>0</v>
      </c>
      <c r="AI18" s="898">
        <f t="shared" si="4"/>
        <v>0</v>
      </c>
      <c r="AJ18" s="898">
        <f t="shared" si="4"/>
        <v>0</v>
      </c>
      <c r="AK18" s="898">
        <f t="shared" si="4"/>
        <v>0</v>
      </c>
      <c r="AL18" s="898">
        <f t="shared" si="4"/>
        <v>0</v>
      </c>
      <c r="AM18" s="898">
        <f t="shared" si="4"/>
        <v>267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381</v>
      </c>
      <c r="BD18" s="898">
        <f t="shared" si="4"/>
        <v>2054</v>
      </c>
      <c r="BE18" s="898">
        <f t="shared" si="4"/>
        <v>0</v>
      </c>
      <c r="BF18" s="898">
        <f t="shared" si="4"/>
        <v>0</v>
      </c>
      <c r="BG18" s="898">
        <f>IF(ISNUMBER(Datos!K18/Datos!J18),Datos!K18/Datos!J18," - ")</f>
        <v>1.0035830618892507</v>
      </c>
      <c r="BH18" s="902">
        <f>IF(ISNUMBER(((Datos!L18/Datos!K18)*11)/factor_trimestre),((Datos!L18/Datos!K18)*11)/factor_trimestre," - ")</f>
        <v>2.2658227848101267</v>
      </c>
      <c r="BI18" s="898">
        <f>SUBTOTAL(9,BI15:BI17)</f>
        <v>0.20893881892555582</v>
      </c>
      <c r="BJ18" s="898">
        <f>SUBTOTAL(9,BJ15:BJ17)</f>
        <v>0</v>
      </c>
      <c r="BK18" s="898">
        <f>SUBTOTAL(9,BK15:BK17)</f>
        <v>0</v>
      </c>
      <c r="BL18" s="898">
        <f>IF(ISNUMBER((I18-AB18+L18)/(F18)),(I18-AB18+L18)/(F18)," - ")</f>
        <v>-1.5305514157973175</v>
      </c>
      <c r="BM18" s="904">
        <f>IF(ISNUMBER((Datos!P18-Datos!Q18)/(Datos!R18-Datos!P18+Datos!Q18)),(Datos!P18-Datos!Q18)/(Datos!R18-Datos!P18+Datos!Q18)," - ")</f>
        <v>8.9795918367346933E-2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2141</v>
      </c>
      <c r="G19" s="819">
        <f t="shared" si="6"/>
        <v>2436</v>
      </c>
      <c r="H19" s="821">
        <f t="shared" si="6"/>
        <v>0</v>
      </c>
      <c r="I19" s="819">
        <f t="shared" si="6"/>
        <v>0</v>
      </c>
      <c r="J19" s="821">
        <f t="shared" si="6"/>
        <v>0</v>
      </c>
      <c r="K19" s="821">
        <f t="shared" si="6"/>
        <v>0</v>
      </c>
      <c r="L19" s="880">
        <f t="shared" si="6"/>
        <v>0</v>
      </c>
      <c r="M19" s="880">
        <f t="shared" si="6"/>
        <v>0</v>
      </c>
      <c r="N19" s="880">
        <f t="shared" si="6"/>
        <v>100</v>
      </c>
      <c r="O19" s="880">
        <f t="shared" si="6"/>
        <v>0</v>
      </c>
      <c r="P19" s="880">
        <f t="shared" si="6"/>
        <v>0</v>
      </c>
      <c r="Q19" s="821">
        <f t="shared" si="6"/>
        <v>449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3106</v>
      </c>
      <c r="AC19" s="820">
        <f t="shared" si="7"/>
        <v>274</v>
      </c>
      <c r="AD19" s="820">
        <f t="shared" si="7"/>
        <v>0</v>
      </c>
      <c r="AE19" s="820">
        <f t="shared" si="7"/>
        <v>0</v>
      </c>
      <c r="AF19" s="827">
        <f t="shared" si="7"/>
        <v>2465</v>
      </c>
      <c r="AG19" s="827">
        <f t="shared" si="7"/>
        <v>0</v>
      </c>
      <c r="AH19" s="827">
        <f t="shared" si="7"/>
        <v>184</v>
      </c>
      <c r="AI19" s="827">
        <f t="shared" si="7"/>
        <v>0</v>
      </c>
      <c r="AJ19" s="820">
        <f t="shared" si="7"/>
        <v>0</v>
      </c>
      <c r="AK19" s="827">
        <f t="shared" si="7"/>
        <v>0</v>
      </c>
      <c r="AL19" s="827">
        <f t="shared" si="7"/>
        <v>0</v>
      </c>
      <c r="AM19" s="827">
        <f t="shared" si="7"/>
        <v>9564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861</v>
      </c>
      <c r="BD19" s="819">
        <f t="shared" si="7"/>
        <v>3055</v>
      </c>
      <c r="BE19" s="819">
        <f t="shared" si="7"/>
        <v>0</v>
      </c>
      <c r="BF19" s="829">
        <f t="shared" si="7"/>
        <v>0</v>
      </c>
      <c r="BG19" s="914">
        <f>IF(ISNUMBER(Datos!K19/Datos!J19),Datos!K19/Datos!J19," - ")</f>
        <v>1.0437986082685222</v>
      </c>
      <c r="BH19" s="914">
        <f>IF(ISNUMBER(((Datos!L19/Datos!K19)*11)/factor_trimestre),((Datos!L19/Datos!K19)*11)/factor_trimestre," - ")</f>
        <v>6.6435294117647059</v>
      </c>
      <c r="BI19" s="812">
        <f>IF(ISNUMBER(Datos!J19/Datos!I19),Datos!J19/Datos!I19," - ")</f>
        <v>0.42706057162835415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-1.4507239607659972</v>
      </c>
      <c r="BM19" s="888">
        <f>IF(ISNUMBER((Datos!P19-Datos!Q19+R19)/(Datos!R19-Datos!P19+Datos!Q19-R19)),(Datos!P19-Datos!Q19+R19)/(Datos!R19-Datos!P19+Datos!Q19-R19)," - ")</f>
        <v>1.8638832676536373E-2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1088.3052574224446</v>
      </c>
      <c r="G21" s="551">
        <f>IF(ISNUMBER(STDEV(G8:G18)),STDEV(G8:G18),"-")</f>
        <v>1078.2241418183883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1560.8942308817725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216.55946065688286</v>
      </c>
      <c r="BD21" s="550"/>
      <c r="BE21" s="550">
        <f>IF(ISNUMBER(STDEV(BE8:BE18)),STDEV(BE8:BE18),"-")</f>
        <v>0</v>
      </c>
      <c r="BF21" s="555">
        <f>IF(ISNUMBER(STDEV(BF8:BF18)),STDEV(BF8:BF18),"-")</f>
        <v>0</v>
      </c>
      <c r="BG21" s="774">
        <f>IF(ISNUMBER(STDEV(BG8:BG18)),STDEV(BG8:BG18),"-")</f>
        <v>0.15224941392079824</v>
      </c>
      <c r="BH21" s="775">
        <f>IF(ISNUMBER(STDEV(BH8:BH18)),STDEV(BH8:BH18),"-")</f>
        <v>6.4636376384890868</v>
      </c>
      <c r="BI21" s="248">
        <f>IF(ISNUMBER(STDEV(BI8:BI18)),STDEV(BI8:BI18),"-")</f>
        <v>6.9417312485972132E-2</v>
      </c>
      <c r="BJ21" s="229" t="str">
        <f>IF(ISNUMBER(BL21/BM21),BL21/BM21," - ")</f>
        <v xml:space="preserve"> - </v>
      </c>
      <c r="BK21" s="574"/>
      <c r="BL21" s="558">
        <f>IF(ISNUMBER(STDEV(BL8:BL18)),STDEV(BL8:BL18),"-")</f>
        <v>0.94415649186445672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umRH2HGAxSJs6JuiS4BEIH0enm5pb6FYAfN+EHhxoBoC3yDCVhDhbWldG2TeV+zmrdiZdH+MlNoaFXh4KfAlA==" saltValue="TaUINj/2yWiHkoGYXLtk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FUENGIROLA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371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189</v>
      </c>
      <c r="AA9" s="331" t="str">
        <f>IF(ISNUMBER(IF(J_V="SI",Datos!L9,Datos!L9+Datos!AB9)-IF(Monitorios="SI",Datos!CD9,0)),
                          IF(J_V="SI",Datos!L9,Datos!L9+Datos!AB9)-IF(Monitorios="SI",Datos!CD9,0),
                          " - ")</f>
        <v xml:space="preserve"> - </v>
      </c>
      <c r="AB9" s="333"/>
      <c r="AC9" s="333"/>
      <c r="AD9" s="483"/>
      <c r="AE9" s="483">
        <f>IF(ISNUMBER(Datos!R9),Datos!R9," - ")</f>
        <v>9217</v>
      </c>
      <c r="AF9" s="228" t="str">
        <f>IF(ISNUMBER(Datos!BV9),Datos!BV9," - ")</f>
        <v xml:space="preserve"> - </v>
      </c>
      <c r="AG9" s="224" t="str">
        <f>IF(ISNUMBER(Datos!DV9),Datos!DV9," - ")</f>
        <v xml:space="preserve"> - </v>
      </c>
      <c r="AH9" s="297"/>
      <c r="AI9" s="226"/>
      <c r="AJ9" s="224">
        <f>IF(ISNUMBER(Datos!M9),Datos!M9," - ")</f>
        <v>473</v>
      </c>
      <c r="AK9" s="228">
        <f>IF(ISNUMBER(Datos!N9),Datos!N9," - ")</f>
        <v>988</v>
      </c>
      <c r="AL9" s="228" t="str">
        <f>IF(ISNUMBER(Datos!BW9),Datos!BW9," - ")</f>
        <v xml:space="preserve"> - </v>
      </c>
      <c r="AM9" s="227" t="str">
        <f>IF(ISNUMBER(Datos!BX9),Datos!BX9," - ")</f>
        <v xml:space="preserve"> - </v>
      </c>
      <c r="AN9" s="242"/>
      <c r="AO9" s="259">
        <f>IF(ISNUMBER(((NºAsuntos!I9/NºAsuntos!G9)*11)/factor_trimestre),((NºAsuntos!I9/NºAsuntos!G9)*11)/factor_trimestre," - ")</f>
        <v>13.081277213352687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2.0143884892086329E-2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128</v>
      </c>
      <c r="G10" s="224">
        <f>IF(ISNUMBER(Datos!I10),Datos!I10," - ")</f>
        <v>128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32</v>
      </c>
      <c r="AA10" s="331">
        <f>IF(ISNUMBER(Datos!L10),Datos!L10,"-")</f>
        <v>138</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7</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16.559999999999999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-0.26605504587155965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128</v>
      </c>
      <c r="G13" s="897">
        <f>SUBTOTAL(9,G8:G12)</f>
        <v>128</v>
      </c>
      <c r="H13" s="907"/>
      <c r="I13" s="897">
        <f t="shared" ref="I13:N13" si="0">SUBTOTAL(9,I8:I12)</f>
        <v>0</v>
      </c>
      <c r="J13" s="866">
        <f t="shared" si="0"/>
        <v>0</v>
      </c>
      <c r="K13" s="907">
        <f t="shared" si="0"/>
        <v>0</v>
      </c>
      <c r="L13" s="907">
        <f t="shared" si="0"/>
        <v>0</v>
      </c>
      <c r="M13" s="907">
        <f t="shared" si="0"/>
        <v>0</v>
      </c>
      <c r="N13" s="907">
        <f t="shared" si="0"/>
        <v>374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221</v>
      </c>
      <c r="AA13" s="899">
        <f t="shared" si="2"/>
        <v>138</v>
      </c>
      <c r="AB13" s="899">
        <f t="shared" si="2"/>
        <v>0</v>
      </c>
      <c r="AC13" s="899">
        <f t="shared" si="2"/>
        <v>0</v>
      </c>
      <c r="AD13" s="899">
        <f t="shared" si="2"/>
        <v>0</v>
      </c>
      <c r="AE13" s="899">
        <f t="shared" si="2"/>
        <v>9297</v>
      </c>
      <c r="AF13" s="907">
        <f t="shared" si="2"/>
        <v>0</v>
      </c>
      <c r="AG13" s="907">
        <f t="shared" si="2"/>
        <v>0</v>
      </c>
      <c r="AH13" s="907">
        <f t="shared" si="2"/>
        <v>0</v>
      </c>
      <c r="AI13" s="907">
        <f t="shared" si="2"/>
        <v>0</v>
      </c>
      <c r="AJ13" s="907">
        <f t="shared" si="2"/>
        <v>480</v>
      </c>
      <c r="AK13" s="907">
        <f t="shared" si="2"/>
        <v>1001</v>
      </c>
      <c r="AL13" s="907">
        <f t="shared" si="2"/>
        <v>0</v>
      </c>
      <c r="AM13" s="907">
        <f t="shared" si="2"/>
        <v>0</v>
      </c>
      <c r="AN13" s="907">
        <f t="shared" si="2"/>
        <v>0</v>
      </c>
      <c r="AO13" s="903">
        <f>IF(ISNUMBER(((NºAsuntos!I13/NºAsuntos!G13)*11)/factor_trimestre),((NºAsuntos!I13/NºAsuntos!G13)*11)/factor_trimestre," - ")</f>
        <v>13.122848948374761</v>
      </c>
      <c r="AP13" s="909" t="str">
        <f>IF(ISNUMBER(Datos!CI13/Datos!CJ13),Datos!CI13/Datos!CJ13," - ")</f>
        <v xml:space="preserve"> - </v>
      </c>
      <c r="AQ13" s="927">
        <f t="shared" ref="AQ13:AV13" si="3">SUBTOTAL(9,AQ9:AQ12)</f>
        <v>0</v>
      </c>
      <c r="AR13" s="927">
        <f t="shared" si="3"/>
        <v>-0.24591116097947333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2013</v>
      </c>
      <c r="G15" s="224">
        <f>IF(ISNUMBER(IF(D_I="SI",Datos!I15,Datos!I15+Datos!AC15)),IF(D_I="SI",Datos!I15,Datos!I15+Datos!AC15)," - ")</f>
        <v>1983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2810</v>
      </c>
      <c r="Z15" s="618">
        <f>IF(ISNUMBER(Datos!Q15),Datos!Q15," - ")</f>
        <v>49</v>
      </c>
      <c r="AA15" s="331">
        <f>IF(ISNUMBER(IF(D_I="SI",Datos!L15,Datos!L15+Datos!AF15)),IF(D_I="SI",Datos!L15,Datos!L15+Datos!AF15)," - ")</f>
        <v>1961</v>
      </c>
      <c r="AB15" s="333"/>
      <c r="AC15" s="333"/>
      <c r="AD15" s="483"/>
      <c r="AE15" s="483">
        <f>IF(ISNUMBER(Datos!R15),Datos!R15," - ")</f>
        <v>261</v>
      </c>
      <c r="AF15" s="228" t="str">
        <f>IF(ISNUMBER(Datos!BV15),Datos!BV15," - ")</f>
        <v xml:space="preserve"> - </v>
      </c>
      <c r="AG15" s="224"/>
      <c r="AH15" s="297"/>
      <c r="AI15" s="226"/>
      <c r="AJ15" s="224">
        <f>IF(ISNUMBER(Datos!M15),Datos!M15," - ")</f>
        <v>359</v>
      </c>
      <c r="AK15" s="228">
        <f>IF(ISNUMBER(Datos!N15),Datos!N15," - ")</f>
        <v>1878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2.0935943060498223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271</v>
      </c>
      <c r="Z17" s="618">
        <f>IF(ISNUMBER(Datos!Q17),Datos!Q17," - ")</f>
        <v>4</v>
      </c>
      <c r="AA17" s="331">
        <f>IF(ISNUMBER(Datos!L17),Datos!L17,"-")</f>
        <v>366</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22</v>
      </c>
      <c r="AK17" s="228">
        <f>IF(ISNUMBER(Datos!N17),Datos!N17," - ")</f>
        <v>176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4.0516605166051658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2013</v>
      </c>
      <c r="G18" s="897">
        <f>SUBTOTAL(9,G15:G17)</f>
        <v>2308</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3081</v>
      </c>
      <c r="Z18" s="931">
        <f t="shared" si="5"/>
        <v>53</v>
      </c>
      <c r="AA18" s="931">
        <f t="shared" si="5"/>
        <v>2327</v>
      </c>
      <c r="AB18" s="931">
        <f t="shared" si="5"/>
        <v>0</v>
      </c>
      <c r="AC18" s="931">
        <f t="shared" si="5"/>
        <v>0</v>
      </c>
      <c r="AD18" s="931">
        <f t="shared" si="5"/>
        <v>0</v>
      </c>
      <c r="AE18" s="931">
        <f t="shared" si="5"/>
        <v>267</v>
      </c>
      <c r="AF18" s="931">
        <f t="shared" si="5"/>
        <v>0</v>
      </c>
      <c r="AG18" s="931">
        <f t="shared" si="5"/>
        <v>0</v>
      </c>
      <c r="AH18" s="931">
        <f t="shared" si="5"/>
        <v>0</v>
      </c>
      <c r="AI18" s="931">
        <f t="shared" si="5"/>
        <v>0</v>
      </c>
      <c r="AJ18" s="931">
        <f t="shared" si="5"/>
        <v>381</v>
      </c>
      <c r="AK18" s="931">
        <f t="shared" si="5"/>
        <v>2054</v>
      </c>
      <c r="AL18" s="931">
        <f t="shared" si="5"/>
        <v>0</v>
      </c>
      <c r="AM18" s="931">
        <f t="shared" si="5"/>
        <v>0</v>
      </c>
      <c r="AN18" s="931">
        <f t="shared" si="5"/>
        <v>0</v>
      </c>
      <c r="AO18" s="933">
        <f>IF(ISNUMBER(((NºAsuntos!I18/NºAsuntos!G18)*11)/factor_trimestre),((NºAsuntos!I18/NºAsuntos!G18)*11)/factor_trimestre," - ")</f>
        <v>2.2658227848101267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2141</v>
      </c>
      <c r="G19" s="819">
        <f t="shared" si="7"/>
        <v>2436</v>
      </c>
      <c r="H19" s="820">
        <f t="shared" si="7"/>
        <v>0</v>
      </c>
      <c r="I19" s="819">
        <f t="shared" si="7"/>
        <v>0</v>
      </c>
      <c r="J19" s="821">
        <f t="shared" si="7"/>
        <v>0</v>
      </c>
      <c r="K19" s="819">
        <f t="shared" si="7"/>
        <v>0</v>
      </c>
      <c r="L19" s="822">
        <f t="shared" si="7"/>
        <v>0</v>
      </c>
      <c r="M19" s="819">
        <f t="shared" si="7"/>
        <v>0</v>
      </c>
      <c r="N19" s="820">
        <f t="shared" si="7"/>
        <v>449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3106</v>
      </c>
      <c r="Z19" s="826">
        <f t="shared" si="8"/>
        <v>274</v>
      </c>
      <c r="AA19" s="827">
        <f t="shared" si="8"/>
        <v>2465</v>
      </c>
      <c r="AB19" s="827">
        <f t="shared" si="8"/>
        <v>0</v>
      </c>
      <c r="AC19" s="827">
        <f t="shared" si="8"/>
        <v>0</v>
      </c>
      <c r="AD19" s="828">
        <f t="shared" si="8"/>
        <v>0</v>
      </c>
      <c r="AE19" s="828">
        <f t="shared" si="8"/>
        <v>9564</v>
      </c>
      <c r="AF19" s="829">
        <f t="shared" si="8"/>
        <v>0</v>
      </c>
      <c r="AG19" s="830">
        <f t="shared" si="8"/>
        <v>0</v>
      </c>
      <c r="AH19" s="831">
        <f t="shared" si="8"/>
        <v>0</v>
      </c>
      <c r="AI19" s="829">
        <f t="shared" si="8"/>
        <v>0</v>
      </c>
      <c r="AJ19" s="819">
        <f t="shared" si="8"/>
        <v>861</v>
      </c>
      <c r="AK19" s="819">
        <f t="shared" si="8"/>
        <v>3055</v>
      </c>
      <c r="AL19" s="819">
        <f t="shared" si="8"/>
        <v>0</v>
      </c>
      <c r="AM19" s="832">
        <f t="shared" si="8"/>
        <v>0</v>
      </c>
      <c r="AN19" s="822">
        <f>IF(ISNUMBER(Datos!K19/Datos!J19),Datos!K19/Datos!J19," - ")</f>
        <v>1.0437986082685222</v>
      </c>
      <c r="AO19" s="822">
        <f>IF(ISNUMBER(FIND("06",Criterios!A8,1)),(IF(ISNUMBER(((Datos!R19/Datos!Q19)*11)/factor_trimestre),((Datos!R19/Datos!Q19)*11)/factor_trimestre," - ")),(IF(ISNUMBER(((Datos!L19/Datos!K19)*11)/factor_trimestre),((Datos!L19/Datos!K19)*11)/factor_trimestre," - ")))</f>
        <v>6.6435294117647059</v>
      </c>
      <c r="AP19" s="833" t="str">
        <f>IF(ISNUMBER(Datos!CI19/Datos!CJ19),Datos!CI19/Datos!CJ19," - ")</f>
        <v xml:space="preserve"> - </v>
      </c>
      <c r="AQ19" s="833">
        <f>IF(OR(ISNUMBER(FIND("01",Criterios!A8,1)),ISNUMBER(FIND("02",Criterios!A8,1)),ISNUMBER(FIND("03",Criterios!A8,1)),ISNUMBER(FIND("04",Criterios!A8,1))),(J19-Y19+K19)/(F19-K19),(I19-Y19+K19)/(F19-K19))</f>
        <v>-1.4507239607659972</v>
      </c>
      <c r="AR19" s="833">
        <f>IF(ISNUMBER((Datos!P19-Datos!Q19+O19)/(Datos!R19-Datos!P19+Datos!Q19-O19)),(Datos!P19-Datos!Q19+O19)/(Datos!R19-Datos!P19+Datos!Q19-O19)," - ")</f>
        <v>1.8638832676536373E-2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1088.3052574224446</v>
      </c>
      <c r="G21" s="551">
        <f>IF(ISNUMBER(STDEV(G8:G18)),STDEV(G8:G18),"-")</f>
        <v>1078.2241418183883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216.55946065688286</v>
      </c>
      <c r="AK21" s="251"/>
      <c r="AL21" s="251">
        <f>IF(ISNUMBER(STDEV(AL8:AL18)),STDEV(AL8:AL18),"-")</f>
        <v>0</v>
      </c>
      <c r="AM21" s="253">
        <f>IF(ISNUMBER(STDEV(AM8:AM18)),STDEV(AM8:AM18),"-")</f>
        <v>0</v>
      </c>
      <c r="AN21" s="538">
        <f>IF(ISNUMBER(STDEV(AN8:AN18)),STDEV(AN8:AN18),"-")</f>
        <v>0</v>
      </c>
      <c r="AO21" s="539">
        <f>IF(ISNUMBER(STDEV(AO8:AO18)),STDEV(AO8:AO18),"-")</f>
        <v>6.4344703102951719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qcHyAx/y1uRizVfdpvNiWOAAJr1gptSOzL2sgHXGdkh145z8qCPuqIR5jraNeDBWm9faugD+6UKu21QuZGakg==" saltValue="L8ffCVDLs/zKhxMLEq/h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lUULNBJLVJqClVPmp1stmzICz9eNu9u5lJJsT5383g4W4goQzMPdD4klsTFJFr8XjnJj5uMWIDXAWX71O8pGw==" saltValue="a1sF3e7pMXDI05hQojmg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1KWQRwcL3HWX8UmrZuhdALkQyISbIIKhgxfaIbKiUsZm6y6GaPRvhoTziDvQEuzifYwhkA/h9EP8sbDzum/vA==" saltValue="NZKoDoCS5vaKdT+zywgM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FUENGIROLA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0.2294455066921606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0.16224247369481012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mcZ80+nAVRMUwN1ETOIik9FUmRzWlVV7NEFU+h1Ex0Rxi1zcfy1SLRChU6C9Q3ZT/OXsZfAMd2ht9ToVVuu+Q==" saltValue="wG6NvAlUTicMW2JN24Am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U0Wpj8YRUo44pG+Nh26JrM4Nc3jEgRZ9hwYOyiXqaznjwlVPLZY5R+MYmsW0ED83hSxFELLUJ2B5H2X4yt8KQ==" saltValue="JsWcqPPCvBMvg/zVueLs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FUENGIROLA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9161</v>
      </c>
      <c r="D9" s="403">
        <f>IF(ISNUMBER(C9/Datos!BH9),C9/Datos!BH9," - ")</f>
        <v>1832.2</v>
      </c>
      <c r="E9" s="402">
        <f>IF(ISNUMBER(IF(J_V="SI",Datos!J9,Datos!J9+Datos!Z9)),IF(J_V="SI",Datos!J9,Datos!J9+Datos!Z9)," - ")</f>
        <v>1881</v>
      </c>
      <c r="F9" s="403">
        <f>IF(ISNUMBER(E9/B9),E9/B9," - ")</f>
        <v>376.2</v>
      </c>
      <c r="G9" s="402">
        <f>IF(ISNUMBER(IF(J_V="SI",Datos!K9,Datos!K9+Datos!AA9)),IF(J_V="SI",Datos!K9,Datos!K9+Datos!AA9)," - ")</f>
        <v>2067</v>
      </c>
      <c r="H9" s="403">
        <f>IF(ISNUMBER(G9/B9),G9/B9," - ")</f>
        <v>413.4</v>
      </c>
      <c r="I9" s="402">
        <f>IF(ISNUMBER(IF(J_V="SI",Datos!L9,Datos!L9+Datos!AB9)),IF(J_V="SI",Datos!L9,Datos!L9+Datos!AB9)," - ")</f>
        <v>9013</v>
      </c>
      <c r="J9" s="403">
        <f>IF(ISNUMBER(I9/B9),I9/B9," - ")</f>
        <v>1802.6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128</v>
      </c>
      <c r="D10" s="403">
        <f>IF(ISNUMBER(C10/Datos!BH10),C10/Datos!BH10," - ")</f>
        <v>128</v>
      </c>
      <c r="E10" s="402">
        <f>IF(ISNUMBER(Datos!J10),Datos!J10," - ")</f>
        <v>35</v>
      </c>
      <c r="F10" s="403">
        <f>IF(ISNUMBER(E10/B10),E10/B10," - ")</f>
        <v>35</v>
      </c>
      <c r="G10" s="402">
        <f>IF(ISNUMBER(Datos!K10),Datos!K10," - ")</f>
        <v>25</v>
      </c>
      <c r="H10" s="403">
        <f>IF(ISNUMBER(G10/B10),G10/B10," - ")</f>
        <v>25</v>
      </c>
      <c r="I10" s="402">
        <f>IF(ISNUMBER(Datos!L10),Datos!L10," - ")</f>
        <v>138</v>
      </c>
      <c r="J10" s="403">
        <f>IF(ISNUMBER(I10/B10),I10/B10," - ")</f>
        <v>138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9289</v>
      </c>
      <c r="D13" s="849" t="str">
        <f>IF(ISNUMBER(C13/Datos!BI13),C13/Datos!BI13," - ")</f>
        <v xml:space="preserve"> - </v>
      </c>
      <c r="E13" s="848">
        <f>SUBTOTAL(9,E8:E12)</f>
        <v>1916</v>
      </c>
      <c r="F13" s="849">
        <f>IF(ISNUMBER(E13/B13),E13/B13," - ")</f>
        <v>319.33333333333331</v>
      </c>
      <c r="G13" s="848">
        <f>SUBTOTAL(9,G8:G12)</f>
        <v>2092</v>
      </c>
      <c r="H13" s="849">
        <f>IF(ISNUMBER(G13/B13),G13/B13," - ")</f>
        <v>348.66666666666669</v>
      </c>
      <c r="I13" s="848">
        <f>SUBTOTAL(9,I8:I12)</f>
        <v>9151</v>
      </c>
      <c r="J13" s="849">
        <f>IF(ISNUMBER(I13/B13),I13/B13," - ")</f>
        <v>1525.1666666666667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1983</v>
      </c>
      <c r="D15" s="403">
        <f>IF(ISNUMBER(C15/Datos!BH15),C15/Datos!BH15," - ")</f>
        <v>495.75</v>
      </c>
      <c r="E15" s="402">
        <f>IF(ISNUMBER(IF(D_I="SI",Datos!J15,Datos!J15+Datos!AD15)),IF(D_I="SI",Datos!J15,Datos!J15+Datos!AD15)," - ")</f>
        <v>2758</v>
      </c>
      <c r="F15" s="403">
        <f>IF(ISNUMBER(E15/B15),E15/B15," - ")</f>
        <v>689.5</v>
      </c>
      <c r="G15" s="402">
        <f>IF(ISNUMBER(IF(D_I="SI",Datos!K15,Datos!K15+Datos!AE15)),IF(D_I="SI",Datos!K15,Datos!K15+Datos!AE15)," - ")</f>
        <v>2810</v>
      </c>
      <c r="H15" s="403">
        <f>IF(ISNUMBER(G15/B15),G15/B15," - ")</f>
        <v>702.5</v>
      </c>
      <c r="I15" s="402">
        <f>IF(ISNUMBER(IF(D_I="SI",Datos!L15,Datos!L15+Datos!AF15)),IF(D_I="SI",Datos!L15,Datos!L15+Datos!AF15)," - ")</f>
        <v>1961</v>
      </c>
      <c r="J15" s="403">
        <f>IF(ISNUMBER(I15/B15),I15/B15," - ")</f>
        <v>490.25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325</v>
      </c>
      <c r="D17" s="403">
        <f>IF(ISNUMBER(C17/Datos!BH17),C17/Datos!BH17," - ")</f>
        <v>325</v>
      </c>
      <c r="E17" s="402">
        <f>IF(ISNUMBER(IF(D_I="SI",Datos!J17,Datos!J17+Datos!AD17)),IF(D_I="SI",Datos!J17,Datos!J17+Datos!AD17)," - ")</f>
        <v>312</v>
      </c>
      <c r="F17" s="403">
        <f>IF(ISNUMBER(E17/B17),E17/B17," - ")</f>
        <v>312</v>
      </c>
      <c r="G17" s="402">
        <f>IF(ISNUMBER(IF(D_I="SI",Datos!K17,Datos!K17+Datos!AE17)),IF(D_I="SI",Datos!K17,Datos!K17+Datos!AE17)," - ")</f>
        <v>271</v>
      </c>
      <c r="H17" s="403">
        <f>IF(ISNUMBER(G17/B17),G17/B17," - ")</f>
        <v>271</v>
      </c>
      <c r="I17" s="402">
        <f>IF(ISNUMBER(IF(D_I="SI",Datos!L17,Datos!L17+Datos!AF17)),IF(D_I="SI",Datos!L17,Datos!L17+Datos!AF17)," - ")</f>
        <v>366</v>
      </c>
      <c r="J17" s="403">
        <f>IF(ISNUMBER(I17/B17),I17/B17," - ")</f>
        <v>366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2308</v>
      </c>
      <c r="D18" s="849" t="str">
        <f>IF(ISNUMBER(C18/Datos!BI18),C18/Datos!BI18," - ")</f>
        <v xml:space="preserve"> - </v>
      </c>
      <c r="E18" s="848">
        <f>SUBTOTAL(9,E14:E17)</f>
        <v>3070</v>
      </c>
      <c r="F18" s="849">
        <f>IF(ISNUMBER(E18/B18),E18/B18," - ")</f>
        <v>614</v>
      </c>
      <c r="G18" s="848">
        <f>SUBTOTAL(9,G14:G17)</f>
        <v>3081</v>
      </c>
      <c r="H18" s="849">
        <f>IF(ISNUMBER(G18/B18),G18/B18," - ")</f>
        <v>616.20000000000005</v>
      </c>
      <c r="I18" s="848">
        <f>SUBTOTAL(9,I14:I17)</f>
        <v>2327</v>
      </c>
      <c r="J18" s="849">
        <f>IF(ISNUMBER(I18/B18),I18/B18," - ")</f>
        <v>465.4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11597</v>
      </c>
      <c r="D19" s="794" t="str">
        <f>IF(ISNUMBER(C19/Datos!BI19),C19/Datos!BI19," - ")</f>
        <v xml:space="preserve"> - </v>
      </c>
      <c r="E19" s="793">
        <f>SUBTOTAL(9,E9:E18)</f>
        <v>4986</v>
      </c>
      <c r="F19" s="794">
        <f>IF(ISNUMBER(E19/B19),E19/B19," - ")</f>
        <v>498.6</v>
      </c>
      <c r="G19" s="793">
        <f>SUBTOTAL(9,G9:G18)</f>
        <v>5173</v>
      </c>
      <c r="H19" s="794">
        <f>IF(ISNUMBER(G19/B19),G19/B19," - ")</f>
        <v>517.29999999999995</v>
      </c>
      <c r="I19" s="793">
        <f>SUBTOTAL(9,I9:I18)</f>
        <v>11478</v>
      </c>
      <c r="J19" s="794">
        <f>IF(ISNUMBER(I19/B19),I19/B19," - ")</f>
        <v>1147.8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o9lxDFPqWMcXhqlb09jgqML4wgJkMaHLS5wGpYGlTM33qZzA+/qkZYGS842P0Jm8Wicf0o5/3/14mJz544ZgA==" saltValue="VUPU3w4DM4Km1h7rR2Mh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FUENGIROLA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128</v>
      </c>
      <c r="G10" s="683">
        <f>IF(ISNUMBER(Datos!I10),Datos!I10," - ")</f>
        <v>128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138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16.559999999999999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128</v>
      </c>
      <c r="G13" s="937">
        <f t="shared" si="0"/>
        <v>128</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0</v>
      </c>
      <c r="AE13" s="938">
        <f t="shared" si="1"/>
        <v>0</v>
      </c>
      <c r="AF13" s="938">
        <f t="shared" si="1"/>
        <v>138</v>
      </c>
      <c r="AG13" s="938">
        <f t="shared" si="1"/>
        <v>0</v>
      </c>
      <c r="AH13" s="938">
        <f t="shared" si="1"/>
        <v>0</v>
      </c>
      <c r="AI13" s="938">
        <f t="shared" si="1"/>
        <v>0</v>
      </c>
      <c r="AJ13" s="938">
        <f t="shared" si="1"/>
        <v>0</v>
      </c>
      <c r="AK13" s="938">
        <f t="shared" si="1"/>
        <v>0</v>
      </c>
      <c r="AL13" s="938">
        <f t="shared" si="1"/>
        <v>7</v>
      </c>
      <c r="AM13" s="938">
        <f t="shared" si="1"/>
        <v>13</v>
      </c>
      <c r="AN13" s="938">
        <f t="shared" si="1"/>
        <v>0</v>
      </c>
      <c r="AO13" s="938">
        <f t="shared" si="1"/>
        <v>0</v>
      </c>
      <c r="AP13" s="943">
        <f>IF(ISNUMBER(((Datos!L13/Datos!K13)*11)/factor_trimestre),((Datos!L13/Datos!K13)*11)/factor_trimestre," - ")</f>
        <v>13.323922734026747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-0.1953125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2.2658227848101267</v>
      </c>
      <c r="AQ18" s="943">
        <f>IF(ISNUMBER(((Datos!M18/Datos!L18)*11)/factor_trimestre),((Datos!M18/Datos!L18)*11)/factor_trimestre," - ")</f>
        <v>0.49119037387193815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8.9795918367346933E-2</v>
      </c>
      <c r="AW18" s="945">
        <f>IF(ISNUMBER((Datos!Q18-Datos!R18)/(Datos!S18-Datos!Q18+Datos!R18)),(Datos!Q18-Datos!R18)/(Datos!S18-Datos!Q18+Datos!R18)," - ")</f>
        <v>-9.7096188747731391E-2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128</v>
      </c>
      <c r="G19" s="950">
        <f t="shared" si="4"/>
        <v>128</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0</v>
      </c>
      <c r="AE19" s="956">
        <f t="shared" si="5"/>
        <v>0</v>
      </c>
      <c r="AF19" s="957">
        <f t="shared" si="5"/>
        <v>138</v>
      </c>
      <c r="AG19" s="957">
        <f t="shared" si="5"/>
        <v>0</v>
      </c>
      <c r="AH19" s="957">
        <f t="shared" si="5"/>
        <v>0</v>
      </c>
      <c r="AI19" s="957">
        <f t="shared" si="5"/>
        <v>0</v>
      </c>
      <c r="AJ19" s="958">
        <f t="shared" si="5"/>
        <v>0</v>
      </c>
      <c r="AK19" s="958">
        <f t="shared" si="5"/>
        <v>0</v>
      </c>
      <c r="AL19" s="950">
        <f t="shared" si="5"/>
        <v>7</v>
      </c>
      <c r="AM19" s="950">
        <f t="shared" si="5"/>
        <v>13</v>
      </c>
      <c r="AN19" s="950">
        <f t="shared" si="5"/>
        <v>0</v>
      </c>
      <c r="AO19" s="950">
        <f t="shared" si="5"/>
        <v>0</v>
      </c>
      <c r="AP19" s="950">
        <f>IF(ISNUMBER(((Datos!L19/Datos!K19)*11)/factor_trimestre),((Datos!L19/Datos!K19)*11)/factor_trimestre," - ")</f>
        <v>6.6435294117647059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-0.1953125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1.8638832676536373E-2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73.900834456272108</v>
      </c>
      <c r="G21" s="736">
        <f>IF(ISNUMBER(STDEV(G8:G18)),STDEV(G8:G18),"-")</f>
        <v>73.900834456272108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4.0414518843273806</v>
      </c>
      <c r="AM21" s="735"/>
      <c r="AN21" s="735">
        <f>IF(ISNUMBER(STDEV(AN8:AN18)),STDEV(AN8:AN18),"-")</f>
        <v>0</v>
      </c>
      <c r="AO21" s="741">
        <f>IF(ISNUMBER(STDEV(AO8:AO18)),STDEV(AO8:AO18),"-")</f>
        <v>0</v>
      </c>
      <c r="AP21" s="778">
        <f>IF(ISNUMBER(STDEV(AP8:AP18)),STDEV(AP8:AP18),"-")</f>
        <v>7.4953015596157142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e1cyhKo7A/+w13R6/G6LtnOKN42cfaBfs/zjnXWo6fuLVRszWYcknajNQvsFiNluzbwjgK0QkEEoceiKozrwg==" saltValue="enK+TLSKIXr9ODCv6MJ7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FUENGIROLA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GhQQWM/QXtGt6uhvJTShI7v+MCh3ksTKH2UtC8t3RgbhHphUsE2d0e6Nsu0bqljoehFWz+0g7qVf2/zHwbohA==" saltValue="aWOSFTVDWLgz/hY94yLM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FUENGIROLA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473</v>
      </c>
      <c r="E9" s="403">
        <f t="shared" ref="E9:E13" si="0">IF(ISNUMBER(D9/B9),D9/B9," - ")</f>
        <v>94.6</v>
      </c>
      <c r="F9" s="402">
        <f>IF(ISNUMBER(Datos!N9),Datos!N9," - ")</f>
        <v>988</v>
      </c>
      <c r="G9" s="403">
        <f t="shared" ref="G9:G13" si="1">IF(ISNUMBER(F9/B9),F9/B9," - ")</f>
        <v>197.6</v>
      </c>
      <c r="H9" s="402">
        <f>IF(ISNUMBER(Datos!O9),Datos!O9," - ")</f>
        <v>746</v>
      </c>
      <c r="I9" s="403">
        <f>IF(ISNUMBER(H9/B9),H9/B9," - ")</f>
        <v>149.19999999999999</v>
      </c>
      <c r="BZ9" s="1185">
        <f>Datos!EZ9</f>
        <v>0</v>
      </c>
    </row>
    <row r="10" spans="1:78">
      <c r="A10" s="401" t="str">
        <f>Datos!A10</f>
        <v>Jdos. Violencia contra la mujer/Secc Viol. TI.</v>
      </c>
      <c r="B10" s="426">
        <f>Datos!AO10</f>
        <v>1</v>
      </c>
      <c r="C10" s="409">
        <f>Datos!AQ10</f>
        <v>1</v>
      </c>
      <c r="D10" s="402">
        <f>IF(ISNUMBER(Datos!M10),Datos!M10," - ")</f>
        <v>7</v>
      </c>
      <c r="E10" s="403">
        <f>IF(ISNUMBER(D10/B10),D10/B10," - ")</f>
        <v>7</v>
      </c>
      <c r="F10" s="402">
        <f>IF(ISNUMBER(Datos!N10),Datos!N10," - ")</f>
        <v>13</v>
      </c>
      <c r="G10" s="403">
        <f>IF(ISNUMBER(F10/B10),F10/B10," - ")</f>
        <v>13</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480</v>
      </c>
      <c r="E13" s="849">
        <f t="shared" si="0"/>
        <v>80</v>
      </c>
      <c r="F13" s="848">
        <f>SUBTOTAL(9,F9:F12)</f>
        <v>1001</v>
      </c>
      <c r="G13" s="849">
        <f t="shared" si="1"/>
        <v>166.83333333333334</v>
      </c>
      <c r="H13" s="848">
        <f>SUBTOTAL(9,H9:H12)</f>
        <v>756</v>
      </c>
      <c r="I13" s="849">
        <f>IF(ISNUMBER(H13/B13),H13/B13," - ")</f>
        <v>126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359</v>
      </c>
      <c r="E15" s="403">
        <f t="shared" ref="E15:E18" si="3">IF(ISNUMBER(D15/B15),D15/B15," - ")</f>
        <v>89.75</v>
      </c>
      <c r="F15" s="402">
        <f>IF(ISNUMBER(Datos!N15),Datos!N15," - ")</f>
        <v>1878</v>
      </c>
      <c r="G15" s="403">
        <f t="shared" ref="G15:G18" si="4">IF(ISNUMBER(F15/B15),F15/B15," - ")</f>
        <v>469.5</v>
      </c>
      <c r="H15" s="402">
        <f>IF(ISNUMBER(Datos!O15),Datos!O15," - ")</f>
        <v>41</v>
      </c>
      <c r="I15" s="403">
        <f t="shared" ref="I15:I17" si="5">IF(ISNUMBER(H15/B15),H15/B15," - ")</f>
        <v>10.25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22</v>
      </c>
      <c r="E17" s="403">
        <f>IF(ISNUMBER(D17/B17),D17/B17," - ")</f>
        <v>22</v>
      </c>
      <c r="F17" s="402">
        <f>IF(ISNUMBER(Datos!N17),Datos!N17," - ")</f>
        <v>176</v>
      </c>
      <c r="G17" s="403">
        <f>IF(ISNUMBER(F17/B17),F17/B17," - ")</f>
        <v>176</v>
      </c>
      <c r="H17" s="402">
        <f>IF(ISNUMBER(Datos!O17),Datos!O17," - ")</f>
        <v>4</v>
      </c>
      <c r="I17" s="403">
        <f t="shared" si="5"/>
        <v>4</v>
      </c>
      <c r="BZ17" s="1185">
        <f>Datos!EZ17</f>
        <v>0</v>
      </c>
    </row>
    <row r="18" spans="1:78" ht="14.25" thickTop="1" thickBot="1">
      <c r="A18" s="847" t="str">
        <f>Datos!A18</f>
        <v>TOTAL</v>
      </c>
      <c r="B18" s="848">
        <f>Datos!AP18</f>
        <v>5</v>
      </c>
      <c r="C18" s="850">
        <f>Datos!AR18</f>
        <v>5</v>
      </c>
      <c r="D18" s="848">
        <f>SUBTOTAL(9,D15:D17)</f>
        <v>381</v>
      </c>
      <c r="E18" s="849">
        <f t="shared" si="3"/>
        <v>76.2</v>
      </c>
      <c r="F18" s="848">
        <f>SUBTOTAL(9,F15:F17)</f>
        <v>2054</v>
      </c>
      <c r="G18" s="849">
        <f t="shared" si="4"/>
        <v>410.8</v>
      </c>
      <c r="H18" s="848">
        <f>SUBTOTAL(9,H15:H17)</f>
        <v>45</v>
      </c>
      <c r="I18" s="849">
        <f>IF(ISNUMBER(H18/B18),H18/B18," - ")</f>
        <v>9</v>
      </c>
      <c r="BZ18" s="1185"/>
    </row>
    <row r="19" spans="1:78" ht="14.25" thickTop="1" thickBot="1">
      <c r="A19" s="792" t="str">
        <f>Datos!A19</f>
        <v>TOTAL JURISDICCIONES</v>
      </c>
      <c r="B19" s="793">
        <f>Datos!AP19</f>
        <v>10</v>
      </c>
      <c r="C19" s="793">
        <f>Datos!AR19</f>
        <v>10</v>
      </c>
      <c r="D19" s="793">
        <f>SUBTOTAL(9,D8:D18)</f>
        <v>861</v>
      </c>
      <c r="E19" s="794">
        <f>IF(ISNUMBER(D19/B19),D19/B19," - ")</f>
        <v>86.1</v>
      </c>
      <c r="F19" s="793">
        <f>SUBTOTAL(9,F8:F18)</f>
        <v>3055</v>
      </c>
      <c r="G19" s="794">
        <f>IF(ISNUMBER(F19/B19),F19/B19," - ")</f>
        <v>305.5</v>
      </c>
      <c r="H19" s="793">
        <f>SUBTOTAL(9,H8:H18)</f>
        <v>801</v>
      </c>
      <c r="I19" s="794">
        <f>IF(ISNUMBER(H19/B19),H19/B19," - ")</f>
        <v>80.099999999999994</v>
      </c>
    </row>
    <row r="22" spans="1:78">
      <c r="A22" s="390" t="str">
        <f>Criterios!A4</f>
        <v>Fecha Informe: 17 mar. 2026</v>
      </c>
    </row>
    <row r="27" spans="1:78">
      <c r="A27" s="413"/>
    </row>
  </sheetData>
  <sheetProtection algorithmName="SHA-512" hashValue="HaGrnr20bjG0oPkABQVSHRmjAeLceJItxS/IGysQxnRtL9FKDC+ZunM+GeNhdHlhR/+5AFsB/7JlUxWr8N/VUQ==" saltValue="0IWa8wgY67WZA01cayxY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FUENGIROLA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371</v>
      </c>
      <c r="C9" s="433">
        <f>IF(ISNUMBER(Datos!Q9),Datos!Q9," - ")</f>
        <v>189</v>
      </c>
      <c r="D9" s="407">
        <f>IF(ISNUMBER(Datos!R9),Datos!R9," - ")</f>
        <v>9217</v>
      </c>
    </row>
    <row r="10" spans="1:4">
      <c r="A10" s="401" t="str">
        <f>Datos!A10</f>
        <v>Jdos. Violencia contra la mujer/Secc Viol. TI.</v>
      </c>
      <c r="B10" s="432">
        <f>IF(ISNUMBER(Datos!P10),Datos!P10," - ")</f>
        <v>3</v>
      </c>
      <c r="C10" s="433">
        <f>IF(ISNUMBER(Datos!Q10),Datos!Q10," - ")</f>
        <v>32</v>
      </c>
      <c r="D10" s="407">
        <f>IF(ISNUMBER(Datos!R10),Datos!R10," - ")</f>
        <v>80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374</v>
      </c>
      <c r="C13" s="852">
        <f>SUBTOTAL(9,C9:C12)</f>
        <v>221</v>
      </c>
      <c r="D13" s="850">
        <f>SUBTOTAL(9,D9:D12)</f>
        <v>9297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75</v>
      </c>
      <c r="C15" s="433">
        <f>IF(ISNUMBER(Datos!Q15),Datos!Q15," - ")</f>
        <v>49</v>
      </c>
      <c r="D15" s="407">
        <f>IF(ISNUMBER(Datos!R15),Datos!R15," - ")</f>
        <v>261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4</v>
      </c>
      <c r="D17" s="407">
        <f>IF(ISNUMBER(Datos!R17),Datos!R17," - ")</f>
        <v>6</v>
      </c>
    </row>
    <row r="18" spans="1:4" ht="14.25" thickTop="1" thickBot="1">
      <c r="A18" s="847" t="str">
        <f>Datos!A18</f>
        <v>TOTAL</v>
      </c>
      <c r="B18" s="848">
        <f>SUBTOTAL(9,B15:B17)</f>
        <v>75</v>
      </c>
      <c r="C18" s="852">
        <f>SUBTOTAL(9,C15:C17)</f>
        <v>53</v>
      </c>
      <c r="D18" s="850">
        <f>SUBTOTAL(9,D15:D17)</f>
        <v>267</v>
      </c>
    </row>
    <row r="19" spans="1:4" ht="16.5" customHeight="1" thickTop="1" thickBot="1">
      <c r="A19" s="792" t="str">
        <f>Datos!A19</f>
        <v>TOTAL JURISDICCIONES</v>
      </c>
      <c r="B19" s="797">
        <f>SUBTOTAL(9,B8:B18)</f>
        <v>449</v>
      </c>
      <c r="C19" s="798">
        <f>SUBTOTAL(9,C8:C18)</f>
        <v>274</v>
      </c>
      <c r="D19" s="799">
        <f>SUBTOTAL(9,D8:D18)</f>
        <v>9564</v>
      </c>
    </row>
    <row r="20" spans="1:4" ht="7.5" customHeight="1"/>
    <row r="21" spans="1:4" ht="6" customHeight="1"/>
    <row r="22" spans="1:4">
      <c r="A22" s="390" t="str">
        <f>Criterios!A4</f>
        <v>Fecha Informe: 17 mar. 2026</v>
      </c>
    </row>
    <row r="27" spans="1:4">
      <c r="A27" s="413"/>
    </row>
  </sheetData>
  <sheetProtection algorithmName="SHA-512" hashValue="3nQHK0EXl2wph6xQ6d/E484eXePnnhK3LrOGfHSITaNbxu/4Xwavi9rqIhUnLD339EIC5NCQcCaLfP9469JHHw==" saltValue="p5iz1yEaNsi/ewtSmU8a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FUENGIROLA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9.2806871048550635E-2</v>
      </c>
      <c r="C9" s="455">
        <f>IF(ISNUMBER(
   IF(J_V="SI",(Datos!J9-Datos!T9)/Datos!T9,(Datos!J9+Datos!Z9-(Datos!T9+Datos!AH9))/(Datos!T9+Datos!AH9))
     ),IF(J_V="SI",(Datos!J9-Datos!T9)/Datos!T9,(Datos!J9+Datos!Z9-(Datos!T9+Datos!AH9))/(Datos!T9+Datos!AH9))," - ")</f>
        <v>-0.31500364166059724</v>
      </c>
      <c r="D9" s="455">
        <f>IF(ISNUMBER(
   IF(J_V="SI",(Datos!K9-Datos!U9)/Datos!U9,(Datos!K9+Datos!AA9-(Datos!U9+Datos!AI9))/(Datos!U9+Datos!AI9))
     ),IF(J_V="SI",(Datos!K9-Datos!U9)/Datos!U9,(Datos!K9+Datos!AA9-(Datos!U9+Datos!AI9))/(Datos!U9+Datos!AI9))," - ")</f>
        <v>-0.11211340206185567</v>
      </c>
      <c r="E9" s="455">
        <f>IF(ISNUMBER(
   IF(J_V="SI",(Datos!L9-Datos!V9)/Datos!V9,(Datos!L9+Datos!AB9-(Datos!V9+Datos!AJ9))/(Datos!V9+Datos!AJ9))
     ),IF(J_V="SI",(Datos!L9-Datos!V9)/Datos!V9,(Datos!L9+Datos!AB9-(Datos!V9+Datos!AJ9))/(Datos!V9+Datos!AJ9))," - ")</f>
        <v>4.3458881212391351E-3</v>
      </c>
      <c r="F9" s="455">
        <f>IF(ISNUMBER((Datos!M9-Datos!W9)/Datos!W9),(Datos!M9-Datos!W9)/Datos!W9," - ")</f>
        <v>8.9861751152073732E-2</v>
      </c>
      <c r="G9" s="456">
        <f>IF(ISNUMBER((Datos!N9-Datos!X9)/Datos!X9),(Datos!N9-Datos!X9)/Datos!X9," - ")</f>
        <v>-0.16483516483516483</v>
      </c>
      <c r="H9" s="454">
        <f>IF(ISNUMBER(((NºAsuntos!G9/NºAsuntos!E9)-Datos!BD9)/Datos!BD9),((NºAsuntos!G9/NºAsuntos!E9)-Datos!BD9)/Datos!BD9," - ")</f>
        <v>0.29619170544292611</v>
      </c>
      <c r="I9" s="455">
        <f>IF(ISNUMBER(((NºAsuntos!I9/NºAsuntos!G9)-Datos!BE9)/Datos!BE9),((NºAsuntos!I9/NºAsuntos!G9)-Datos!BE9)/Datos!BE9," - ")</f>
        <v>0.13116459968371785</v>
      </c>
      <c r="J9" s="460">
        <f>IF(ISNUMBER((('Resol  Asuntos'!D9/NºAsuntos!G9)-Datos!BF9)/Datos!BF9),(('Resol  Asuntos'!D9/NºAsuntos!G9)-Datos!BF9)/Datos!BF9," - ")</f>
        <v>-0.54968242653851673</v>
      </c>
      <c r="K9" s="461">
        <f>IF(ISNUMBER((((NºAsuntos!C9+NºAsuntos!E9)/NºAsuntos!G9)-Datos!BG9)/Datos!BG9),(((NºAsuntos!C9+NºAsuntos!E9)/NºAsuntos!G9)-Datos!BG9)/Datos!BG9," - ")</f>
        <v>0.11746543797432424</v>
      </c>
    </row>
    <row r="10" spans="1:11" ht="21">
      <c r="A10" s="401" t="str">
        <f>Datos!A10</f>
        <v>Jdos. Violencia contra la mujer/Secc Viol. TI.</v>
      </c>
      <c r="B10" s="454">
        <f>IF(ISNUMBER((Datos!I10-Datos!S10)/Datos!S10),(Datos!I10-Datos!S10)/Datos!S10," - ")</f>
        <v>2.4E-2</v>
      </c>
      <c r="C10" s="455">
        <f>IF(ISNUMBER((Datos!J10-Datos!T10)/Datos!T10),(Datos!J10-Datos!T10)/Datos!T10," - ")</f>
        <v>0.16666666666666666</v>
      </c>
      <c r="D10" s="455">
        <f>IF(ISNUMBER((Datos!K10-Datos!U10)/Datos!U10),(Datos!K10-Datos!U10)/Datos!U10," - ")</f>
        <v>-0.40476190476190477</v>
      </c>
      <c r="E10" s="455">
        <f>IF(ISNUMBER((Datos!L10-Datos!V10)/Datos!V10),(Datos!L10-Datos!V10)/Datos!V10," - ")</f>
        <v>0.22123893805309736</v>
      </c>
      <c r="F10" s="455">
        <f>IF(ISNUMBER((Datos!M10-Datos!W10)/Datos!W10),(Datos!M10-Datos!W10)/Datos!W10," - ")</f>
        <v>-0.63157894736842102</v>
      </c>
      <c r="G10" s="456">
        <f>IF(ISNUMBER((Datos!N10-Datos!X10)/Datos!X10),(Datos!N10-Datos!X10)/Datos!X10," - ")</f>
        <v>-0.1875</v>
      </c>
      <c r="H10" s="454">
        <f>IF(ISNUMBER(((NºAsuntos!G10/NºAsuntos!E10)-Datos!BD10)/Datos!BD10),((NºAsuntos!G10/NºAsuntos!E10)-Datos!BD10)/Datos!BD10," - ")</f>
        <v>-0.48979591836734687</v>
      </c>
      <c r="I10" s="455">
        <f>IF(ISNUMBER(((NºAsuntos!I10/NºAsuntos!G10)-Datos!BE10)/Datos!BE10),((NºAsuntos!I10/NºAsuntos!G10)-Datos!BE10)/Datos!BE10," - ")</f>
        <v>1.0516814159292032</v>
      </c>
      <c r="J10" s="460">
        <f>IF(ISNUMBER((('Resol  Asuntos'!D10/NºAsuntos!G10)-Datos!BF10)/Datos!BF10),(('Resol  Asuntos'!D10/NºAsuntos!G10)-Datos!BF10)/Datos!BF10," - ")</f>
        <v>-0.38105263157894731</v>
      </c>
      <c r="K10" s="461">
        <f>IF(ISNUMBER((((NºAsuntos!C10+NºAsuntos!E10)/NºAsuntos!G10)-Datos!BG10)/Datos!BG10),(((NºAsuntos!C10+NºAsuntos!E10)/NºAsuntos!G10)-Datos!BG10)/Datos!BG10," - ")</f>
        <v>0.76670967741935458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9.1795956746591439E-2</v>
      </c>
      <c r="C13" s="854">
        <f>IF(ISNUMBER(
   IF(J_V="SI",(Datos!J13-Datos!T13)/Datos!T13,(Datos!J13+Datos!Z13-(Datos!T13+Datos!AH13))/(Datos!T13+Datos!AH13))
     ),IF(J_V="SI",(Datos!J13-Datos!T13)/Datos!T13,(Datos!J13+Datos!Z13-(Datos!T13+Datos!AH13))/(Datos!T13+Datos!AH13))," - ")</f>
        <v>-0.30979827089337175</v>
      </c>
      <c r="D13" s="854">
        <f>IF(ISNUMBER(
   IF(J_V="SI",(Datos!K13-Datos!U13)/Datos!U13,(Datos!K13+Datos!AA13-(Datos!U13+Datos!AI13))/(Datos!U13+Datos!AI13))
     ),IF(J_V="SI",(Datos!K13-Datos!U13)/Datos!U13,(Datos!K13+Datos!AA13-(Datos!U13+Datos!AI13))/(Datos!U13+Datos!AI13))," - ")</f>
        <v>-0.11729957805907174</v>
      </c>
      <c r="E13" s="854">
        <f>IF(ISNUMBER(
   IF(J_V="SI",(Datos!L13-Datos!V13)/Datos!V13,(Datos!L13+Datos!AB13-(Datos!V13+Datos!AJ13))/(Datos!V13+Datos!AJ13))
     ),IF(J_V="SI",(Datos!L13-Datos!V13)/Datos!V13,(Datos!L13+Datos!AB13-(Datos!V13+Datos!AJ13))/(Datos!V13+Datos!AJ13))," - ")</f>
        <v>7.0430285022559701E-3</v>
      </c>
      <c r="F13" s="855">
        <f>IF(ISNUMBER((Datos!M13-Datos!W13)/Datos!W13),(Datos!M13-Datos!W13)/Datos!W13," - ")</f>
        <v>5.9602649006622516E-2</v>
      </c>
      <c r="G13" s="856">
        <f>IF(ISNUMBER((Datos!N13-Datos!X13)/Datos!X13),(Datos!N13-Datos!X13)/Datos!X13," - ")</f>
        <v>-0.16513761467889909</v>
      </c>
      <c r="H13" s="856">
        <f>IF(ISNUMBER(((NºAsuntos!G13/NºAsuntos!E13)-Datos!BD13)/Datos!BD13),((NºAsuntos!G13/NºAsuntos!E13)-Datos!BD13)/Datos!BD13," - ")</f>
        <v>0.2789020727077331</v>
      </c>
      <c r="I13" s="856">
        <f>IF(ISNUMBER(((NºAsuntos!I13/NºAsuntos!G13)-Datos!BE13)/Datos!BE13),((NºAsuntos!I13/NºAsuntos!G13)-Datos!BE13)/Datos!BE13," - ")</f>
        <v>0.140866146056571</v>
      </c>
      <c r="J13" s="856">
        <f>IF(ISNUMBER((('Resol  Asuntos'!D13/NºAsuntos!G13)-Datos!BF13)/Datos!BF13),(('Resol  Asuntos'!D13/NºAsuntos!G13)-Datos!BF13)/Datos!BF13," - ")</f>
        <v>-0.54759912574008274</v>
      </c>
      <c r="K13" s="856">
        <f>IF(ISNUMBER((((NºAsuntos!C13+NºAsuntos!E13)/NºAsuntos!G13)-Datos!BG13)/Datos!BG13),(((NºAsuntos!C13+NºAsuntos!E13)/NºAsuntos!G13)-Datos!BG13)/Datos!BG13," - ")</f>
        <v>0.1249557741955817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0.17267888823181549</v>
      </c>
      <c r="C15" s="455">
        <f>IF(ISNUMBER(
   IF(D_I="SI",(Datos!J15-Datos!T15)/Datos!T15,(Datos!J15+Datos!AD15-(Datos!T15+Datos!AL15))/(Datos!T15+Datos!AL15))
     ),IF(D_I="SI",(Datos!J15-Datos!T15)/Datos!T15,(Datos!J15+Datos!AD15-(Datos!T15+Datos!AL15))/(Datos!T15+Datos!AL15))," - ")</f>
        <v>2.5660096690219413E-2</v>
      </c>
      <c r="D15" s="455">
        <f>IF(ISNUMBER(
   IF(D_I="SI",(Datos!K15-Datos!U15)/Datos!U15,(Datos!K15+Datos!AE15-(Datos!U15+Datos!AM15))/(Datos!U15+Datos!AM15))
     ),IF(D_I="SI",(Datos!K15-Datos!U15)/Datos!U15,(Datos!K15+Datos!AE15-(Datos!U15+Datos!AM15))/(Datos!U15+Datos!AM15))," - ")</f>
        <v>3.9299749910682389E-3</v>
      </c>
      <c r="E15" s="455">
        <f>IF(ISNUMBER(
   IF(D_I="SI",(Datos!L15-Datos!V15)/Datos!V15,(Datos!L15+Datos!AF15-(Datos!V15+Datos!AN15))/(Datos!V15+Datos!AN15))
     ),IF(D_I="SI",(Datos!L15-Datos!V15)/Datos!V15,(Datos!L15+Datos!AF15-(Datos!V15+Datos!AN15))/(Datos!V15+Datos!AN15))," - ")</f>
        <v>0.21952736318407962</v>
      </c>
      <c r="F15" s="455">
        <f>IF(ISNUMBER((Datos!M15-Datos!W15)/Datos!W15),(Datos!M15-Datos!W15)/Datos!W15," - ")</f>
        <v>0.19269102990033224</v>
      </c>
      <c r="G15" s="456">
        <f>IF(ISNUMBER((Datos!N15-Datos!X15)/Datos!X15),(Datos!N15-Datos!X15)/Datos!X15," - ")</f>
        <v>1.843817787418655E-2</v>
      </c>
      <c r="H15" s="454">
        <f>IF(ISNUMBER(((NºAsuntos!G15/NºAsuntos!E15)-Datos!BD15)/Datos!BD15),((NºAsuntos!G15/NºAsuntos!E15)-Datos!BD15)/Datos!BD15," - ")</f>
        <v>-2.11864747095785E-2</v>
      </c>
      <c r="I15" s="455">
        <f>IF(ISNUMBER(((NºAsuntos!I15/NºAsuntos!G15)-Datos!BE15)/Datos!BE15),((NºAsuntos!I15/NºAsuntos!G15)-Datos!BE15)/Datos!BE15," - ")</f>
        <v>0.21475341265204245</v>
      </c>
      <c r="J15" s="460">
        <f>IF(ISNUMBER((('Resol  Asuntos'!D15/NºAsuntos!G15)-Datos!BF15)/Datos!BF15),(('Resol  Asuntos'!D15/NºAsuntos!G15)-Datos!BF15)/Datos!BF15," - ")</f>
        <v>0.18802213263025985</v>
      </c>
      <c r="K15" s="461">
        <f>IF(ISNUMBER((((NºAsuntos!C15+NºAsuntos!E15)/NºAsuntos!G15)-Datos!BG15)/Datos!BG15),(((NºAsuntos!C15+NºAsuntos!E15)/NºAsuntos!G15)-Datos!BG15)/Datos!BG15," - ")</f>
        <v>7.8182859649978079E-2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8.6956521739130432E-2</v>
      </c>
      <c r="C17" s="455">
        <f>IF(ISNUMBER(
   IF(D_I="SI",(Datos!J17-Datos!T17)/Datos!T17,(Datos!J17+Datos!AD17-(Datos!T17+Datos!AL17))/(Datos!T17+Datos!AL17))
     ),IF(D_I="SI",(Datos!J17-Datos!T17)/Datos!T17,(Datos!J17+Datos!AD17-(Datos!T17+Datos!AL17))/(Datos!T17+Datos!AL17))," - ")</f>
        <v>9.7087378640776691E-3</v>
      </c>
      <c r="D17" s="455">
        <f>IF(ISNUMBER(
   IF(D_I="SI",(Datos!K17-Datos!U17)/Datos!U17,(Datos!K17+Datos!AE17-(Datos!U17+Datos!AM17))/(Datos!U17+Datos!AM17))
     ),IF(D_I="SI",(Datos!K17-Datos!U17)/Datos!U17,(Datos!K17+Datos!AE17-(Datos!U17+Datos!AM17))/(Datos!U17+Datos!AM17))," - ")</f>
        <v>-4.5774647887323945E-2</v>
      </c>
      <c r="E17" s="455">
        <f>IF(ISNUMBER(
   IF(D_I="SI",(Datos!L17-Datos!V17)/Datos!V17,(Datos!L17+Datos!AF17-(Datos!V17+Datos!AN17))/(Datos!V17+Datos!AN17))
     ),IF(D_I="SI",(Datos!L17-Datos!V17)/Datos!V17,(Datos!L17+Datos!AF17-(Datos!V17+Datos!AN17))/(Datos!V17+Datos!AN17))," - ")</f>
        <v>0.2620689655172414</v>
      </c>
      <c r="F17" s="455">
        <f>IF(ISNUMBER((Datos!M17-Datos!W17)/Datos!W17),(Datos!M17-Datos!W17)/Datos!W17," - ")</f>
        <v>-0.18518518518518517</v>
      </c>
      <c r="G17" s="456">
        <f>IF(ISNUMBER((Datos!N17-Datos!X17)/Datos!X17),(Datos!N17-Datos!X17)/Datos!X17," - ")</f>
        <v>0.62962962962962965</v>
      </c>
      <c r="H17" s="454">
        <f>IF(ISNUMBER(((NºAsuntos!G17/NºAsuntos!E17)-Datos!BD17)/Datos!BD17),((NºAsuntos!G17/NºAsuntos!E17)-Datos!BD17)/Datos!BD17," - ")</f>
        <v>-5.494989165763807E-2</v>
      </c>
      <c r="I17" s="455">
        <f>IF(ISNUMBER(((NºAsuntos!I17/NºAsuntos!G17)-Datos!BE17)/Datos!BE17),((NºAsuntos!I17/NºAsuntos!G17)-Datos!BE17)/Datos!BE17," - ")</f>
        <v>0.32261101921364038</v>
      </c>
      <c r="J17" s="460">
        <f>IF(ISNUMBER((('Resol  Asuntos'!D17/NºAsuntos!G17)-Datos!BF17)/Datos!BF17),(('Resol  Asuntos'!D17/NºAsuntos!G17)-Datos!BF17)/Datos!BF17," - ")</f>
        <v>-0.14609812764794317</v>
      </c>
      <c r="K17" s="461">
        <f>IF(ISNUMBER((((NºAsuntos!C17+NºAsuntos!E17)/NºAsuntos!G17)-Datos!BG17)/Datos!BG17),(((NºAsuntos!C17+NºAsuntos!E17)/NºAsuntos!G17)-Datos!BG17)/Datos!BG17," - ")</f>
        <v>9.7955913769664074E-2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0.15979899497487438</v>
      </c>
      <c r="C18" s="854">
        <f>IF(ISNUMBER(
   IF(Criterios!B14="SI",(Datos!J18-Datos!T18)/Datos!T18,(Datos!J18+Datos!AD18-(Datos!T18+Datos!AL18))/(Datos!T18+Datos!AL18))
     ),IF(Criterios!B14="SI",(Datos!J18-Datos!T18)/Datos!T18,(Datos!J18+Datos!AD18-(Datos!T18+Datos!AL18))/(Datos!T18+Datos!AL18))," - ")</f>
        <v>2.401601067378252E-2</v>
      </c>
      <c r="D18" s="854">
        <f>IF(ISNUMBER(
   IF(Criterios!B14="SI",(Datos!K18-Datos!U18)/Datos!U18,(Datos!K18+Datos!AE18-(Datos!U18+Datos!AM18))/(Datos!U18+Datos!AM18))
     ),IF(Criterios!B14="SI",(Datos!K18-Datos!U18)/Datos!U18,(Datos!K18+Datos!AE18-(Datos!U18+Datos!AM18))/(Datos!U18+Datos!AM18))," - ")</f>
        <v>-6.4871878040869281E-4</v>
      </c>
      <c r="E18" s="854">
        <f>IF(ISNUMBER(
   IF(Criterios!B14="SI",(Datos!L18-Datos!V18)/Datos!V18,(Datos!L18+Datos!AF18-(Datos!V18+Datos!AN18))/(Datos!V18+Datos!AN18))
     ),IF(Criterios!B14="SI",(Datos!L18-Datos!V18)/Datos!V18,(Datos!L18+Datos!AF18-(Datos!V18+Datos!AN18))/(Datos!V18+Datos!AN18))," - ")</f>
        <v>0.22602739726027396</v>
      </c>
      <c r="F18" s="855">
        <f>IF(ISNUMBER((Datos!M18-Datos!W18)/Datos!W18),(Datos!M18-Datos!W18)/Datos!W18," - ")</f>
        <v>0.16158536585365854</v>
      </c>
      <c r="G18" s="856">
        <f>IF(ISNUMBER((Datos!N18-Datos!X18)/Datos!X18),(Datos!N18-Datos!X18)/Datos!X18," - ")</f>
        <v>5.225409836065574E-2</v>
      </c>
      <c r="H18" s="856">
        <f>IF(ISNUMBER(((NºAsuntos!G18/NºAsuntos!E18)-Datos!BD18)/Datos!BD18),((NºAsuntos!G18/NºAsuntos!E18)-Datos!BD18)/Datos!BD18," - ")</f>
        <v>-2.4086273258522965E-2</v>
      </c>
      <c r="I18" s="856">
        <f>IF(ISNUMBER(((NºAsuntos!I18/NºAsuntos!G18)-Datos!BE18)/Datos!BE18),((NºAsuntos!I18/NºAsuntos!G18)-Datos!BE18)/Datos!BE18," - ")</f>
        <v>0.22682326054963484</v>
      </c>
      <c r="J18" s="856">
        <f>IF(ISNUMBER((('Resol  Asuntos'!D18/NºAsuntos!G18)-Datos!BF18)/Datos!BF18),(('Resol  Asuntos'!D18/NºAsuntos!G18)-Datos!BF18)/Datos!BF18," - ")</f>
        <v>0.16233939724986352</v>
      </c>
      <c r="K18" s="856">
        <f>IF(ISNUMBER((((NºAsuntos!C18+NºAsuntos!E18)/NºAsuntos!G18)-Datos!BG18)/Datos!BG18),(((NºAsuntos!C18+NºAsuntos!E18)/NºAsuntos!G18)-Datos!BG18)/Datos!BG18," - ")</f>
        <v>7.8887544973239271E-2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0.10468660697275671</v>
      </c>
      <c r="C19" s="801">
        <f>IF(ISNUMBER(
   IF(J_V="SI",(Datos!J19-Datos!T19)/Datos!T19,(Datos!J19+Datos!Z19-(Datos!T19+Datos!AH19))/(Datos!T19+Datos!AH19))
     ),IF(J_V="SI",(Datos!J19-Datos!T19)/Datos!T19,(Datos!J19+Datos!Z19-(Datos!T19+Datos!AH19))/(Datos!T19+Datos!AH19))," - ")</f>
        <v>-0.13647384828541739</v>
      </c>
      <c r="D19" s="801">
        <f>IF(ISNUMBER(
   IF(J_V="SI",(Datos!K19-Datos!U19)/Datos!U19,(Datos!K19+Datos!AA19-(Datos!U19+Datos!AI19))/(Datos!U19+Datos!AI19))
     ),IF(J_V="SI",(Datos!K19-Datos!U19)/Datos!U19,(Datos!K19+Datos!AA19-(Datos!U19+Datos!AI19))/(Datos!U19+Datos!AI19))," - ")</f>
        <v>-5.1347881899871634E-2</v>
      </c>
      <c r="E19" s="801">
        <f>IF(ISNUMBER(
   IF(J_V="SI",(Datos!L19-Datos!V19)/Datos!V19,(Datos!L19+Datos!AB19-(Datos!V19+Datos!AJ19))/(Datos!V19+Datos!AJ19))
     ),IF(J_V="SI",(Datos!L19-Datos!V19)/Datos!V19,(Datos!L19+Datos!AB19-(Datos!V19+Datos!AJ19))/(Datos!V19+Datos!AJ19))," - ")</f>
        <v>4.4879380974055527E-2</v>
      </c>
      <c r="F19" s="802">
        <f>IF(ISNUMBER((Datos!M19-Datos!W19)/Datos!W19),(Datos!M19-Datos!W19)/Datos!W19," - ")</f>
        <v>0.10243277848911651</v>
      </c>
      <c r="G19" s="803">
        <f>IF(ISNUMBER((Datos!N19-Datos!X19)/Datos!X19),(Datos!N19-Datos!X19)/Datos!X19," - ")</f>
        <v>-3.0466518565534752E-2</v>
      </c>
      <c r="H19" s="804">
        <f>IF(ISNUMBER((Tasas!B19-Datos!BD19)/Datos!BD19),(Tasas!B19-Datos!BD19)/Datos!BD19," - ")</f>
        <v>9.8579488549968119E-2</v>
      </c>
      <c r="I19" s="805">
        <f>IF(ISNUMBER((Tasas!C19-Datos!BE19)/Datos!BE19),(Tasas!C19-Datos!BE19)/Datos!BE19," - ")</f>
        <v>0.10143577507278641</v>
      </c>
      <c r="J19" s="806">
        <f>IF(ISNUMBER((Tasas!D19-Datos!BF19)/Datos!BF19),(Tasas!D19-Datos!BF19)/Datos!BF19," - ")</f>
        <v>-0.40679508609939241</v>
      </c>
      <c r="K19" s="806">
        <f>IF(ISNUMBER((Tasas!E19-Datos!BG19)/Datos!BG19),(Tasas!E19-Datos!BG19)/Datos!BG19," - ")</f>
        <v>7.4274295701092244E-2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JP4Q/kfiEEsH62QDZGmJEkNOii1+cpTWeLz/IRwrtsmr3KxG0NLWdGAfMDBBbfeiq4RTY1WiKi+s6GXdC3c0A==" saltValue="UOo+j2NWI5sgvR1mW3D2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FUENGIROLA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1.098883572567783</v>
      </c>
      <c r="C9" s="442">
        <f>IF(ISNUMBER(NºAsuntos!I9/NºAsuntos!G9),NºAsuntos!I9/NºAsuntos!G9," - ")</f>
        <v>4.3604257377842286</v>
      </c>
      <c r="D9" s="443">
        <f>IF(ISNUMBER('Resol  Asuntos'!D9/NºAsuntos!G9),'Resol  Asuntos'!D9/NºAsuntos!G9," - ")</f>
        <v>0.22883405902273826</v>
      </c>
      <c r="E9" s="444">
        <f>IF(ISNUMBER((NºAsuntos!C9+NºAsuntos!E9)/NºAsuntos!G9),(NºAsuntos!C9+NºAsuntos!E9)/NºAsuntos!G9," - ")</f>
        <v>5.3420416061925495</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5.52</v>
      </c>
      <c r="D10" s="443">
        <f>IF(ISNUMBER('Resol  Asuntos'!D10/NºAsuntos!G10),'Resol  Asuntos'!D10/NºAsuntos!G10," - ")</f>
        <v>0.28000000000000003</v>
      </c>
      <c r="E10" s="444">
        <f>IF(ISNUMBER((NºAsuntos!C10+NºAsuntos!E10)/NºAsuntos!G10),(NºAsuntos!C10+NºAsuntos!E10)/NºAsuntos!G10," - ")</f>
        <v>6.52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1.091858037578288</v>
      </c>
      <c r="C13" s="858">
        <f>IF(ISNUMBER(NºAsuntos!I13/NºAsuntos!G13),NºAsuntos!I13/NºAsuntos!G13," - ")</f>
        <v>4.3742829827915868</v>
      </c>
      <c r="D13" s="859">
        <f>IF(ISNUMBER('Resol  Asuntos'!D13/NºAsuntos!G13),'Resol  Asuntos'!D13/NºAsuntos!G13," - ")</f>
        <v>0.2294455066921606</v>
      </c>
      <c r="E13" s="860">
        <f>IF(ISNUMBER((NºAsuntos!C13+NºAsuntos!E13)/NºAsuntos!G13),(NºAsuntos!C13+NºAsuntos!E13)/NºAsuntos!G13," - ")</f>
        <v>5.3561185468451242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1.0188542422044959</v>
      </c>
      <c r="C15" s="442">
        <f>IF(ISNUMBER(NºAsuntos!I15/NºAsuntos!G15),NºAsuntos!I15/NºAsuntos!G15," - ")</f>
        <v>0.69786476868327407</v>
      </c>
      <c r="D15" s="443">
        <f>IF(ISNUMBER('Resol  Asuntos'!D15/NºAsuntos!G15),'Resol  Asuntos'!D15/NºAsuntos!G15," - ")</f>
        <v>0.12775800711743773</v>
      </c>
      <c r="E15" s="444">
        <f>IF(ISNUMBER((NºAsuntos!C15+NºAsuntos!E15)/NºAsuntos!G15),(NºAsuntos!C15+NºAsuntos!E15)/NºAsuntos!G15," - ")</f>
        <v>1.6871886120996442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0.86858974358974361</v>
      </c>
      <c r="C17" s="442">
        <f>IF(ISNUMBER(NºAsuntos!I17/NºAsuntos!G17),NºAsuntos!I17/NºAsuntos!G17," - ")</f>
        <v>1.3505535055350553</v>
      </c>
      <c r="D17" s="443">
        <f>IF(ISNUMBER('Resol  Asuntos'!D17/NºAsuntos!G17),'Resol  Asuntos'!D17/NºAsuntos!G17," - ")</f>
        <v>8.1180811808118078E-2</v>
      </c>
      <c r="E17" s="444">
        <f>IF(ISNUMBER((NºAsuntos!C17+NºAsuntos!E17)/NºAsuntos!G17),(NºAsuntos!C17+NºAsuntos!E17)/NºAsuntos!G17," - ")</f>
        <v>2.3505535055350553</v>
      </c>
      <c r="G17" s="462"/>
    </row>
    <row r="18" spans="1:7" ht="14.25" thickTop="1" thickBot="1">
      <c r="A18" s="847" t="str">
        <f>Datos!A18</f>
        <v>TOTAL</v>
      </c>
      <c r="B18" s="857">
        <f>IF(ISNUMBER(NºAsuntos!G18/NºAsuntos!E18),NºAsuntos!G18/NºAsuntos!E18," - ")</f>
        <v>1.0035830618892507</v>
      </c>
      <c r="C18" s="858">
        <f>IF(ISNUMBER(NºAsuntos!I18/NºAsuntos!G18),NºAsuntos!I18/NºAsuntos!G18," - ")</f>
        <v>0.75527426160337552</v>
      </c>
      <c r="D18" s="861">
        <f>IF(ISNUMBER('Resol  Asuntos'!D18/NºAsuntos!G18),'Resol  Asuntos'!D18/NºAsuntos!G18," - ")</f>
        <v>0.12366114897760468</v>
      </c>
      <c r="E18" s="860">
        <f>IF(ISNUMBER((NºAsuntos!C18+NºAsuntos!E18)/NºAsuntos!G18),(NºAsuntos!C18+NºAsuntos!E18)/NºAsuntos!G18," - ")</f>
        <v>1.7455371632586822</v>
      </c>
      <c r="G18" s="462"/>
    </row>
    <row r="19" spans="1:7" ht="15.75" customHeight="1" thickTop="1" thickBot="1">
      <c r="A19" s="792" t="str">
        <f>Datos!A19</f>
        <v>TOTAL JURISDICCIONES</v>
      </c>
      <c r="B19" s="807">
        <f>IF(ISNUMBER(NºAsuntos!G19/NºAsuntos!E19),NºAsuntos!G19/NºAsuntos!E19," - ")</f>
        <v>1.0375050140393101</v>
      </c>
      <c r="C19" s="808">
        <f>IF(ISNUMBER(NºAsuntos!I19/NºAsuntos!G19),NºAsuntos!I19/NºAsuntos!G19," - ")</f>
        <v>2.2188285327662864</v>
      </c>
      <c r="D19" s="809">
        <f>IF(ISNUMBER('Resol  Asuntos'!D19/NºAsuntos!G19),'Resol  Asuntos'!D19/NºAsuntos!G19," - ")</f>
        <v>0.16644113667117727</v>
      </c>
      <c r="E19" s="810">
        <f>IF(ISNUMBER((NºAsuntos!C19+NºAsuntos!E19)/NºAsuntos!G19),(NºAsuntos!C19+NºAsuntos!E19)/NºAsuntos!G19," - ")</f>
        <v>3.2056833558863329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EnKwHmvfqT4eCD1tXZPuCW7XGptuVmQjTpP1gkqC3TqmMKiHdYSAqsi8KdiIMEuqhPgXCW7GTN0KbfcHFXR2w==" saltValue="IJ887eO9DbG3KHoX7PU5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FUENGIROLA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371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189</v>
      </c>
      <c r="Y9" s="333">
        <f>SUM(W9:X9)</f>
        <v>189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9217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473</v>
      </c>
      <c r="AJ9" s="228" t="str">
        <f>IF(ISNUMBER(Datos!BW9),Datos!BW9," - ")</f>
        <v xml:space="preserve"> - </v>
      </c>
      <c r="AK9" s="227" t="str">
        <f>IF(ISNUMBER(Datos!BX9),Datos!BX9," - ")</f>
        <v xml:space="preserve"> - </v>
      </c>
      <c r="AL9" s="242">
        <f>IF(ISNUMBER(NºAsuntos!G9/NºAsuntos!E9),NºAsuntos!G9/NºAsuntos!E9," - ")</f>
        <v>1.098883572567783</v>
      </c>
      <c r="AM9" s="259">
        <f>IF(ISNUMBER(((NºAsuntos!I9/NºAsuntos!G9)*11)/factor_trimestre),((NºAsuntos!I9/NºAsuntos!G9)*11)/factor_trimestre," - ")</f>
        <v>13.081277213352687</v>
      </c>
      <c r="AN9" s="243">
        <f>IF(ISNUMBER('Resol  Asuntos'!D9/NºAsuntos!G9),'Resol  Asuntos'!D9/NºAsuntos!G9," - ")</f>
        <v>0.22883405902273826</v>
      </c>
      <c r="AO9" s="244">
        <f>IF(ISNUMBER((NºAsuntos!C9+NºAsuntos!E9)/NºAsuntos!G9),(NºAsuntos!C9+NºAsuntos!E9)/NºAsuntos!G9," - ")</f>
        <v>5.3420416061925495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128</v>
      </c>
      <c r="G10" s="332">
        <f>IF(ISNUMBER(Datos!I10),Datos!I10," - ")</f>
        <v>128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32</v>
      </c>
      <c r="Y10" s="333">
        <f t="shared" ref="Y10:Y12" si="0">SUM(W10:X10)</f>
        <v>57</v>
      </c>
      <c r="Z10" s="334" t="str">
        <f>IF(ISNUMBER(Datos!CC10),Datos!CC10," - ")</f>
        <v xml:space="preserve"> - </v>
      </c>
      <c r="AA10" s="331">
        <f>IF(ISNUMBER(Datos!L10),Datos!L10,"-")</f>
        <v>138</v>
      </c>
      <c r="AB10" s="333">
        <f>IF(ISNUMBER(Datos!R10),Datos!R10," - ")</f>
        <v>80</v>
      </c>
      <c r="AC10" s="333">
        <f t="shared" ref="AC10:AC12" si="1">IF(ISNUMBER(AA10+AB10),AA10+AB10," - ")</f>
        <v>218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16.559999999999999</v>
      </c>
      <c r="AN10" s="243">
        <f>IF(ISNUMBER('Resol  Asuntos'!D10/NºAsuntos!G10),'Resol  Asuntos'!D10/NºAsuntos!G10," - ")</f>
        <v>0.28000000000000003</v>
      </c>
      <c r="AO10" s="244">
        <f>IF(ISNUMBER((NºAsuntos!C10+NºAsuntos!E10)/NºAsuntos!G10),(NºAsuntos!C10+NºAsuntos!E10)/NºAsuntos!G10," - ")</f>
        <v>6.52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128</v>
      </c>
      <c r="G13" s="865">
        <f t="shared" si="3"/>
        <v>128</v>
      </c>
      <c r="H13" s="864">
        <f t="shared" si="3"/>
        <v>0</v>
      </c>
      <c r="I13" s="866">
        <f t="shared" si="3"/>
        <v>0</v>
      </c>
      <c r="J13" s="866">
        <f t="shared" si="3"/>
        <v>0</v>
      </c>
      <c r="K13" s="866">
        <f t="shared" si="3"/>
        <v>0</v>
      </c>
      <c r="L13" s="866">
        <f t="shared" si="3"/>
        <v>374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221</v>
      </c>
      <c r="Y13" s="867">
        <f t="shared" si="4"/>
        <v>246</v>
      </c>
      <c r="Z13" s="867">
        <f t="shared" si="4"/>
        <v>0</v>
      </c>
      <c r="AA13" s="867">
        <f t="shared" si="4"/>
        <v>138</v>
      </c>
      <c r="AB13" s="867">
        <f t="shared" si="4"/>
        <v>9297</v>
      </c>
      <c r="AC13" s="867">
        <f t="shared" si="4"/>
        <v>218</v>
      </c>
      <c r="AD13" s="867">
        <f t="shared" si="4"/>
        <v>0</v>
      </c>
      <c r="AE13" s="871">
        <f t="shared" si="4"/>
        <v>0</v>
      </c>
      <c r="AF13" s="864">
        <f t="shared" si="4"/>
        <v>0</v>
      </c>
      <c r="AG13" s="872">
        <f t="shared" si="4"/>
        <v>0</v>
      </c>
      <c r="AH13" s="869">
        <f t="shared" si="4"/>
        <v>0</v>
      </c>
      <c r="AI13" s="864">
        <f t="shared" si="4"/>
        <v>480</v>
      </c>
      <c r="AJ13" s="866">
        <f t="shared" si="4"/>
        <v>0</v>
      </c>
      <c r="AK13" s="869">
        <f>SUBTOTAL(9,AK9:AK12)</f>
        <v>0</v>
      </c>
      <c r="AL13" s="873">
        <f>IF(ISNUMBER(NºAsuntos!G13/NºAsuntos!E13),NºAsuntos!G13/NºAsuntos!E13," - ")</f>
        <v>1.091858037578288</v>
      </c>
      <c r="AM13" s="873">
        <f>IF(ISNUMBER(((NºAsuntos!I13/NºAsuntos!G13)*11)/factor_trimestre),((NºAsuntos!I13/NºAsuntos!G13)*11)/factor_trimestre," - ")</f>
        <v>13.122848948374761</v>
      </c>
      <c r="AN13" s="874">
        <f>IF(ISNUMBER('Resol  Asuntos'!D13/NºAsuntos!G13),'Resol  Asuntos'!D13/NºAsuntos!G13," - ")</f>
        <v>0.2294455066921606</v>
      </c>
      <c r="AO13" s="875">
        <f>IF(ISNUMBER((NºAsuntos!C13+NºAsuntos!E13)/NºAsuntos!G13),(NºAsuntos!C13+NºAsuntos!E13)/NºAsuntos!G13," - ")</f>
        <v>5.3561185468451242</v>
      </c>
      <c r="AP13" s="876" t="str">
        <f t="shared" si="2"/>
        <v xml:space="preserve"> - </v>
      </c>
      <c r="AQ13" s="876">
        <f>IF(ISNUMBER((H13-W13+K13)/(F13)),(H13-W13+K13)/(F13)," - ")</f>
        <v>-0.1953125</v>
      </c>
      <c r="AR13" s="877">
        <f>IF(ISNUMBER((Datos!P13-Datos!Q13)/(Datos!R13-Datos!P13+Datos!Q13)),(Datos!P13-Datos!Q13)/(Datos!R13-Datos!P13+Datos!Q13)," - ")</f>
        <v>1.6732283464566931E-2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2013</v>
      </c>
      <c r="G15" s="332">
        <f>IF(ISNUMBER(IF(D_I="SI",Datos!I15,Datos!I15+Datos!AC15)),IF(D_I="SI",Datos!I15,Datos!I15+Datos!AC15)," - ")</f>
        <v>1983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2810</v>
      </c>
      <c r="X15" s="225">
        <f>IF(ISNUMBER(Datos!Q15),Datos!Q15," - ")</f>
        <v>49</v>
      </c>
      <c r="Y15" s="333">
        <f>SUM(W15)</f>
        <v>2810</v>
      </c>
      <c r="Z15" s="334" t="str">
        <f>IF(ISNUMBER(Datos!CC15),Datos!CC15," - ")</f>
        <v xml:space="preserve"> - </v>
      </c>
      <c r="AA15" s="331">
        <f>IF(ISNUMBER(IF(D_I="SI",Datos!L15,Datos!L15+Datos!AF15)),IF(D_I="SI",Datos!L15,Datos!L15+Datos!AF15)," - ")</f>
        <v>1961</v>
      </c>
      <c r="AB15" s="333">
        <f>IF(ISNUMBER(Datos!R15),Datos!R15," - ")</f>
        <v>261</v>
      </c>
      <c r="AC15" s="333">
        <f t="shared" ref="AC15:AC17" si="6">IF(ISNUMBER(AA15+AB15),AA15+AB15," - ")</f>
        <v>2222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359</v>
      </c>
      <c r="AJ15" s="230" t="str">
        <f>IF(ISNUMBER(Datos!BW15),Datos!BW15," - ")</f>
        <v xml:space="preserve"> - </v>
      </c>
      <c r="AK15" s="231" t="str">
        <f>IF(ISNUMBER(Datos!BX15),Datos!BX15," - ")</f>
        <v xml:space="preserve"> - </v>
      </c>
      <c r="AL15" s="242">
        <f>IF(ISNUMBER(NºAsuntos!G15/NºAsuntos!E15),NºAsuntos!G15/NºAsuntos!E15," - ")</f>
        <v>1.0188542422044959</v>
      </c>
      <c r="AM15" s="259">
        <f>IF(ISNUMBER(((NºAsuntos!I15/NºAsuntos!G15)*11)/factor_trimestre),((NºAsuntos!I15/NºAsuntos!G15)*11)/factor_trimestre," - ")</f>
        <v>2.0935943060498223</v>
      </c>
      <c r="AN15" s="243">
        <f>IF(ISNUMBER('Resol  Asuntos'!D15/NºAsuntos!G15),'Resol  Asuntos'!D15/NºAsuntos!G15," - ")</f>
        <v>0.12775800711743773</v>
      </c>
      <c r="AO15" s="244">
        <f>IF(ISNUMBER((NºAsuntos!C15+NºAsuntos!E15)/NºAsuntos!G15),(NºAsuntos!C15+NºAsuntos!E15)/NºAsuntos!G15," - ")</f>
        <v>1.6871886120996442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271</v>
      </c>
      <c r="X17" s="225">
        <f>IF(ISNUMBER(Datos!Q17),Datos!Q17," - ")</f>
        <v>4</v>
      </c>
      <c r="Y17" s="333">
        <f t="shared" si="7"/>
        <v>275</v>
      </c>
      <c r="Z17" s="334" t="str">
        <f>IF(ISNUMBER(Datos!CC17),Datos!CC17," - ")</f>
        <v xml:space="preserve"> - </v>
      </c>
      <c r="AA17" s="331">
        <f>IF(ISNUMBER(Datos!L17),Datos!L17,"-")</f>
        <v>366</v>
      </c>
      <c r="AB17" s="333">
        <f>IF(ISNUMBER(Datos!R17),Datos!R17," - ")</f>
        <v>6</v>
      </c>
      <c r="AC17" s="333">
        <f t="shared" si="6"/>
        <v>372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0.86858974358974361</v>
      </c>
      <c r="AM17" s="259">
        <f>IF(ISNUMBER(((NºAsuntos!I17/NºAsuntos!G17)*11)/factor_trimestre),((NºAsuntos!I17/NºAsuntos!G17)*11)/factor_trimestre," - ")</f>
        <v>4.0516605166051658</v>
      </c>
      <c r="AN17" s="243">
        <f>IF(ISNUMBER('Resol  Asuntos'!D17/NºAsuntos!G17),'Resol  Asuntos'!D17/NºAsuntos!G17," - ")</f>
        <v>8.1180811808118078E-2</v>
      </c>
      <c r="AO17" s="244">
        <f>IF(ISNUMBER((NºAsuntos!C17+NºAsuntos!E17)/NºAsuntos!G17),(NºAsuntos!C17+NºAsuntos!E17)/NºAsuntos!G17," - ")</f>
        <v>2.3505535055350553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2013</v>
      </c>
      <c r="G18" s="865">
        <f>SUBTOTAL(9,G15:G17)</f>
        <v>2308</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3081</v>
      </c>
      <c r="X18" s="866">
        <f t="shared" si="11"/>
        <v>53</v>
      </c>
      <c r="Y18" s="867">
        <f t="shared" si="11"/>
        <v>3085</v>
      </c>
      <c r="Z18" s="867">
        <f t="shared" si="11"/>
        <v>0</v>
      </c>
      <c r="AA18" s="867">
        <f t="shared" si="11"/>
        <v>2327</v>
      </c>
      <c r="AB18" s="867">
        <f t="shared" si="11"/>
        <v>267</v>
      </c>
      <c r="AC18" s="867">
        <f t="shared" si="11"/>
        <v>2594</v>
      </c>
      <c r="AD18" s="867">
        <f t="shared" si="11"/>
        <v>0</v>
      </c>
      <c r="AE18" s="871">
        <f t="shared" si="11"/>
        <v>0</v>
      </c>
      <c r="AF18" s="864">
        <f t="shared" si="11"/>
        <v>0</v>
      </c>
      <c r="AG18" s="872">
        <f t="shared" si="11"/>
        <v>0</v>
      </c>
      <c r="AH18" s="869">
        <f t="shared" si="11"/>
        <v>0</v>
      </c>
      <c r="AI18" s="864">
        <f t="shared" si="11"/>
        <v>381</v>
      </c>
      <c r="AJ18" s="866">
        <f t="shared" si="11"/>
        <v>0</v>
      </c>
      <c r="AK18" s="869">
        <f t="shared" si="11"/>
        <v>0</v>
      </c>
      <c r="AL18" s="873">
        <f>IF(ISNUMBER(NºAsuntos!G18/NºAsuntos!E18),NºAsuntos!G18/NºAsuntos!E18," - ")</f>
        <v>1.0035830618892507</v>
      </c>
      <c r="AM18" s="873">
        <f>IF(ISNUMBER(((NºAsuntos!I18/NºAsuntos!G18)*11)/factor_trimestre),((NºAsuntos!I18/NºAsuntos!G18)*11)/factor_trimestre," - ")</f>
        <v>2.2658227848101267</v>
      </c>
      <c r="AN18" s="874">
        <f>IF(ISNUMBER('Resol  Asuntos'!D18/NºAsuntos!G18),'Resol  Asuntos'!D18/NºAsuntos!G18," - ")</f>
        <v>0.12366114897760468</v>
      </c>
      <c r="AO18" s="875">
        <f>IF(ISNUMBER((NºAsuntos!C18+NºAsuntos!E18)/NºAsuntos!G18),(NºAsuntos!C18+NºAsuntos!E18)/NºAsuntos!G18," - ")</f>
        <v>1.7455371632586822</v>
      </c>
      <c r="AP18" s="876" t="str">
        <f t="shared" si="2"/>
        <v xml:space="preserve"> - </v>
      </c>
      <c r="AQ18" s="876">
        <f>IF(ISNUMBER((H18-W18+K18)/(F18)),(H18-W18+K18)/(F18)," - ")</f>
        <v>-1.5305514157973175</v>
      </c>
      <c r="AR18" s="877">
        <f>IF(ISNUMBER((Datos!P18-Datos!Q18)/(Datos!R18-Datos!P18+Datos!Q18)),(Datos!P18-Datos!Q18)/(Datos!R18-Datos!P18+Datos!Q18)," - ")</f>
        <v>8.9795918367346933E-2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2141</v>
      </c>
      <c r="G19" s="820">
        <f t="shared" si="13"/>
        <v>2436</v>
      </c>
      <c r="H19" s="819">
        <f t="shared" si="13"/>
        <v>0</v>
      </c>
      <c r="I19" s="821">
        <f t="shared" si="13"/>
        <v>0</v>
      </c>
      <c r="J19" s="821">
        <f t="shared" si="13"/>
        <v>0</v>
      </c>
      <c r="K19" s="880">
        <f t="shared" si="13"/>
        <v>0</v>
      </c>
      <c r="L19" s="821">
        <f t="shared" si="13"/>
        <v>449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3106</v>
      </c>
      <c r="X19" s="820">
        <f t="shared" si="14"/>
        <v>274</v>
      </c>
      <c r="Y19" s="827">
        <f t="shared" si="14"/>
        <v>3331</v>
      </c>
      <c r="Z19" s="827">
        <f t="shared" si="14"/>
        <v>0</v>
      </c>
      <c r="AA19" s="827">
        <f t="shared" si="14"/>
        <v>2465</v>
      </c>
      <c r="AB19" s="827">
        <f t="shared" si="14"/>
        <v>9564</v>
      </c>
      <c r="AC19" s="827">
        <f t="shared" si="14"/>
        <v>2812</v>
      </c>
      <c r="AD19" s="827">
        <f t="shared" si="14"/>
        <v>0</v>
      </c>
      <c r="AE19" s="829">
        <f t="shared" si="14"/>
        <v>0</v>
      </c>
      <c r="AF19" s="830">
        <f t="shared" si="14"/>
        <v>0</v>
      </c>
      <c r="AG19" s="831">
        <f t="shared" si="14"/>
        <v>0</v>
      </c>
      <c r="AH19" s="829">
        <f t="shared" si="14"/>
        <v>0</v>
      </c>
      <c r="AI19" s="819">
        <f t="shared" si="14"/>
        <v>861</v>
      </c>
      <c r="AJ19" s="819">
        <f t="shared" si="14"/>
        <v>0</v>
      </c>
      <c r="AK19" s="829">
        <f t="shared" si="14"/>
        <v>0</v>
      </c>
      <c r="AL19" s="883">
        <f>IF(ISNUMBER(NºAsuntos!G19/NºAsuntos!E19),NºAsuntos!G19/NºAsuntos!E19," - ")</f>
        <v>1.0375050140393101</v>
      </c>
      <c r="AM19" s="884">
        <f>IF(ISNUMBER(((NºAsuntos!I19/NºAsuntos!G19)*11)/factor_trimestre),((NºAsuntos!I19/NºAsuntos!G19)*11)/factor_trimestre," - ")</f>
        <v>6.6564855982988593</v>
      </c>
      <c r="AN19" s="884">
        <f>IF(ISNUMBER('Resol  Asuntos'!D19/NºAsuntos!G19),'Resol  Asuntos'!D19/NºAsuntos!G19," - ")</f>
        <v>0.16644113667117727</v>
      </c>
      <c r="AO19" s="885">
        <f>IF(ISNUMBER((NºAsuntos!C19+NºAsuntos!E19)/NºAsuntos!G19),(NºAsuntos!C19+NºAsuntos!E19)/NºAsuntos!G19," - ")</f>
        <v>3.2056833558863329</v>
      </c>
      <c r="AP19" s="886" t="str">
        <f t="shared" si="2"/>
        <v xml:space="preserve"> - </v>
      </c>
      <c r="AQ19" s="887">
        <f>IF(OR(ISNUMBER(FIND("01",Criterios!A8,1)),ISNUMBER(FIND("02",Criterios!A8,1)),ISNUMBER(FIND("03",Criterios!A8,1)),ISNUMBER(FIND("04",Criterios!A8,1))),(I19-W19+K19)/(F19-K19),(H19-W19+K19)/(F19-K19))</f>
        <v>-1.4507239607659972</v>
      </c>
      <c r="AR19" s="888">
        <f>IF(ISNUMBER((Datos!P19-Datos!Q19)/(Datos!R19-Datos!P19+Datos!Q19)),(Datos!P19-Datos!Q19)/(Datos!R19-Datos!P19+Datos!Q19)," - ")</f>
        <v>1.8638832676536373E-2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1088.3052574224446</v>
      </c>
      <c r="G21" s="252">
        <f>IF(ISNUMBER(STDEV(G8:G18)),STDEV(G8:G18),"-")</f>
        <v>1078.2241418183883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1560.8942308817725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216.55946065688286</v>
      </c>
      <c r="AJ21" s="251">
        <f t="shared" si="18"/>
        <v>0</v>
      </c>
      <c r="AK21" s="253">
        <f t="shared" si="18"/>
        <v>0</v>
      </c>
      <c r="AL21" s="248">
        <f t="shared" si="18"/>
        <v>0.1486964600353769</v>
      </c>
      <c r="AM21" s="249">
        <f t="shared" si="18"/>
        <v>6.4344703102951719</v>
      </c>
      <c r="AN21" s="249">
        <f t="shared" si="18"/>
        <v>7.8082371306987503E-2</v>
      </c>
      <c r="AO21" s="250">
        <f t="shared" si="18"/>
        <v>2.1436752982444212</v>
      </c>
      <c r="AP21" s="290" t="str">
        <f t="shared" si="18"/>
        <v>-</v>
      </c>
      <c r="AQ21" s="291">
        <f t="shared" si="18"/>
        <v>0.94415649186445672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qcbyvxNTVBOVCE6zdMfKik9c4CLggU4vwsQ1iI1Tib/SE1vgcu8zLadUvmPJ3I18pRK9VYdhVW7hu+A/Eb2zg==" saltValue="PaR2bImtrF1+Uv3VCUr+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FUENGIROLA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8.9861751152073732E-2</v>
      </c>
      <c r="I9" s="349">
        <f>IF(ISNUMBER((Tasas!C9-Datos!BE9)/Datos!BE9),(Tasas!C9-Datos!BE9)/Datos!BE9," - ")</f>
        <v>0.13116459968371785</v>
      </c>
      <c r="J9" s="348">
        <f>IF(ISNUMBER((Tasas!D9-Datos!BF9)/Datos!BF9),(Tasas!D9-Datos!BF9)/Datos!BF9," - ")</f>
        <v>-0.54968242653851673</v>
      </c>
      <c r="K9" s="350">
        <f>IF(ISNUMBER((Tasas!E9-Datos!BG9)/Datos!BG9),(Tasas!E9-Datos!BG9)/Datos!BG9," - ")</f>
        <v>0.11746543797432424</v>
      </c>
      <c r="M9" t="e">
        <f>IF(Monitorios="SI",Datos!CE9,0)</f>
        <v>#REF!</v>
      </c>
      <c r="N9" t="e">
        <f>IF(Monitorios="SI",Datos!CF9,0)</f>
        <v>#REF!</v>
      </c>
      <c r="O9" t="e">
        <f>IF(Monitorios="SI",Datos!CG9,0)</f>
        <v>#REF!</v>
      </c>
      <c r="P9" t="e">
        <f>IF(Monitorios="SI",Datos!CH9,0)</f>
        <v>#REF!</v>
      </c>
      <c r="Q9">
        <f>IF(J_V="SI",0,Datos!AG9)</f>
        <v>82</v>
      </c>
      <c r="R9">
        <f>IF(J_V="SI",0,Datos!AH9)</f>
        <v>56</v>
      </c>
      <c r="S9">
        <f>IF(J_V="SI",0,Datos!AI9)</f>
        <v>43</v>
      </c>
      <c r="T9">
        <f>IF(J_V="SI",0,Datos!AJ9)</f>
        <v>113</v>
      </c>
    </row>
    <row r="10" spans="2:20" ht="14.25">
      <c r="B10" s="274" t="s">
        <v>246</v>
      </c>
      <c r="C10" s="7" t="str">
        <f>Datos!A10</f>
        <v>Jdos. Violencia contra la mujer/Secc Viol. TI.</v>
      </c>
      <c r="D10" s="351">
        <f>IF(ISNUMBER((Datos!I10-Datos!S10)/Datos!S10),(Datos!I10-Datos!S10)/Datos!S10," - ")</f>
        <v>2.4E-2</v>
      </c>
      <c r="E10" s="347">
        <f>IF(ISNUMBER((Datos!J10-Datos!T10)/Datos!T10),(Datos!J10-Datos!T10)/Datos!T10," - ")</f>
        <v>0.16666666666666666</v>
      </c>
      <c r="F10" s="347">
        <f>IF(ISNUMBER((Datos!K10-Datos!U10)/Datos!U10),(Datos!K10-Datos!U10)/Datos!U10," - ")</f>
        <v>-0.40476190476190477</v>
      </c>
      <c r="G10" s="348">
        <f>IF(ISNUMBER((Datos!L10-Datos!V10)/Datos!V10),(Datos!L10-Datos!V10)/Datos!V10," - ")</f>
        <v>0.22123893805309736</v>
      </c>
      <c r="H10" s="229">
        <f>IF(ISNUMBER((Datos!M10-Datos!W10)/Datos!W10),(Datos!M10-Datos!W10)/Datos!W10," - ")</f>
        <v>-0.63157894736842102</v>
      </c>
      <c r="I10" s="349">
        <f>IF(ISNUMBER((Tasas!C10-Datos!BE10)/Datos!BE10),(Tasas!C10-Datos!BE10)/Datos!BE10," - ")</f>
        <v>1.0516814159292032</v>
      </c>
      <c r="J10" s="348">
        <f>IF(ISNUMBER((Tasas!D10-Datos!BF10)/Datos!BF10),(Tasas!D10-Datos!BF10)/Datos!BF10," - ")</f>
        <v>-0.38105263157894731</v>
      </c>
      <c r="K10" s="350">
        <f>IF(ISNUMBER((Tasas!E10-Datos!BG10)/Datos!BG10),(Tasas!E10-Datos!BG10)/Datos!BG10," - ")</f>
        <v>0.76670967741935458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5.9602649006622516E-2</v>
      </c>
      <c r="I13" s="356">
        <f>IF(ISNUMBER((Tasas!C13-Datos!BE13)/Datos!BE13),(Tasas!C13-Datos!BE13)/Datos!BE13," - ")</f>
        <v>0.140866146056571</v>
      </c>
      <c r="J13" s="354">
        <f>IF(ISNUMBER((Tasas!D13-Datos!BF13)/Datos!BF13),(Tasas!D13-Datos!BF13)/Datos!BF13," - ")</f>
        <v>-0.54759912574008274</v>
      </c>
      <c r="K13" s="357">
        <f>IF(ISNUMBER((Tasas!E13-Datos!BG13)/Datos!BG13),(Tasas!E13-Datos!BG13)/Datos!BG13," - ")</f>
        <v>0.1249557741955817</v>
      </c>
      <c r="M13" t="e">
        <f>IF(Monitorios="SI",Datos!CE13,0)</f>
        <v>#REF!</v>
      </c>
      <c r="N13" t="e">
        <f>IF(Monitorios="SI",Datos!CF13,0)</f>
        <v>#REF!</v>
      </c>
      <c r="O13" t="e">
        <f>IF(Monitorios="SI",Datos!CG13,0)</f>
        <v>#REF!</v>
      </c>
      <c r="P13" t="e">
        <f>IF(Monitorios="SI",Datos!CH13,0)</f>
        <v>#REF!</v>
      </c>
      <c r="Q13">
        <f>IF(J_V="SI",0,Datos!AG13)</f>
        <v>82</v>
      </c>
      <c r="R13">
        <f>IF(J_V="SI",0,Datos!AH13)</f>
        <v>56</v>
      </c>
      <c r="S13">
        <f>IF(J_V="SI",0,Datos!AI13)</f>
        <v>43</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0.17267888823181549</v>
      </c>
      <c r="E15" s="347">
        <f>IF(ISNUMBER(
   IF(D_I="SI",(Datos!J15-Datos!T15)/Datos!T15,(Datos!J15+Datos!AD15-(Datos!T15+Datos!AL15))/(Datos!T15+Datos!AL15))
     ),IF(D_I="SI",(Datos!J15-Datos!T15)/Datos!T15,(Datos!J15+Datos!AD15-(Datos!T15+Datos!AL15))/(Datos!T15+Datos!AL15))," - ")</f>
        <v>2.5660096690219413E-2</v>
      </c>
      <c r="F15" s="347">
        <f>IF(ISNUMBER(
   IF(D_I="SI",(Datos!K15-Datos!U15)/Datos!U15,(Datos!K15+Datos!AE15-(Datos!U15+Datos!AM15))/(Datos!U15+Datos!AM15))
     ),IF(D_I="SI",(Datos!K15-Datos!U15)/Datos!U15,(Datos!K15+Datos!AE15-(Datos!U15+Datos!AM15))/(Datos!U15+Datos!AM15))," - ")</f>
        <v>3.9299749910682389E-3</v>
      </c>
      <c r="G15" s="348">
        <f>IF(ISNUMBER(
   IF(D_I="SI",(Datos!L15-Datos!V15)/Datos!V15,(Datos!L15+Datos!AF15-(Datos!V15+Datos!AN15))/(Datos!V15+Datos!AN15))
     ),IF(D_I="SI",(Datos!L15-Datos!V15)/Datos!V15,(Datos!L15+Datos!AF15-(Datos!V15+Datos!AN15))/(Datos!V15+Datos!AN15))," - ")</f>
        <v>0.21952736318407962</v>
      </c>
      <c r="H15" s="229">
        <f>IF(ISNUMBER((Datos!M15-Datos!W15)/Datos!W15),(Datos!M15-Datos!W15)/Datos!W15," - ")</f>
        <v>0.19269102990033224</v>
      </c>
      <c r="I15" s="349">
        <f>IF(ISNUMBER((Tasas!C15-Datos!BE15)/Datos!BE15),(Tasas!C15-Datos!BE15)/Datos!BE15," - ")</f>
        <v>0.21475341265204245</v>
      </c>
      <c r="J15" s="348">
        <f>IF(ISNUMBER((Tasas!D15-Datos!BF15)/Datos!BF15),(Tasas!D15-Datos!BF15)/Datos!BF15," - ")</f>
        <v>0.18802213263025985</v>
      </c>
      <c r="K15" s="350">
        <f>IF(ISNUMBER((Tasas!E15-Datos!BG15)/Datos!BG15),(Tasas!E15-Datos!BG15)/Datos!BG15," - ")</f>
        <v>7.8182859649978079E-2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8.6956521739130432E-2</v>
      </c>
      <c r="E17" s="347">
        <f>IF(ISNUMBER(
   IF(D_I="SI",(Datos!J17-Datos!T17)/Datos!T17,(Datos!J17+Datos!AD17-(Datos!T17+Datos!AL17))/(Datos!T17+Datos!AL17))
     ),IF(D_I="SI",(Datos!J17-Datos!T17)/Datos!T17,(Datos!J17+Datos!AD17-(Datos!T17+Datos!AL17))/(Datos!T17+Datos!AL17))," - ")</f>
        <v>9.7087378640776691E-3</v>
      </c>
      <c r="F17" s="347">
        <f>IF(ISNUMBER(
   IF(D_I="SI",(Datos!K17-Datos!U17)/Datos!U17,(Datos!K17+Datos!AE17-(Datos!U17+Datos!AM17))/(Datos!U17+Datos!AM17))
     ),IF(D_I="SI",(Datos!K17-Datos!U17)/Datos!U17,(Datos!K17+Datos!AE17-(Datos!U17+Datos!AM17))/(Datos!U17+Datos!AM17))," - ")</f>
        <v>-4.5774647887323945E-2</v>
      </c>
      <c r="G17" s="348">
        <f>IF(ISNUMBER(
   IF(D_I="SI",(Datos!L17-Datos!V17)/Datos!V17,(Datos!L17+Datos!AF17-(Datos!V17+Datos!AN17))/(Datos!V17+Datos!AN17))
     ),IF(D_I="SI",(Datos!L17-Datos!V17)/Datos!V17,(Datos!L17+Datos!AF17-(Datos!V17+Datos!AN17))/(Datos!V17+Datos!AN17))," - ")</f>
        <v>0.2620689655172414</v>
      </c>
      <c r="H17" s="229">
        <f>IF(ISNUMBER((Datos!M17-Datos!W17)/Datos!W17),(Datos!M17-Datos!W17)/Datos!W17," - ")</f>
        <v>-0.18518518518518517</v>
      </c>
      <c r="I17" s="349">
        <f>IF(ISNUMBER((Tasas!C17-Datos!BE17)/Datos!BE17),(Tasas!C17-Datos!BE17)/Datos!BE17," - ")</f>
        <v>0.32261101921364038</v>
      </c>
      <c r="J17" s="348">
        <f>IF(ISNUMBER((Tasas!D17-Datos!BF17)/Datos!BF17),(Tasas!D17-Datos!BF17)/Datos!BF17," - ")</f>
        <v>-0.14609812764794317</v>
      </c>
      <c r="K17" s="350">
        <f>IF(ISNUMBER((Tasas!E17-Datos!BG17)/Datos!BG17),(Tasas!E17-Datos!BG17)/Datos!BG17," - ")</f>
        <v>9.7955913769664074E-2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0.15979899497487438</v>
      </c>
      <c r="E18" s="353">
        <f>IF(ISNUMBER(
   IF(D_I="SI",(Datos!J18-Datos!T18)/Datos!T18,(Datos!J18+Datos!AD18-(Datos!T18+Datos!AL18))/(Datos!T18+Datos!AL18))
     ),IF(D_I="SI",(Datos!J18-Datos!T18)/Datos!T18,(Datos!J18+Datos!AD18-(Datos!T18+Datos!AL18))/(Datos!T18+Datos!AL18))," - ")</f>
        <v>2.401601067378252E-2</v>
      </c>
      <c r="F18" s="353">
        <f>IF(ISNUMBER(
   IF(D_I="SI",(Datos!K18-Datos!U18)/Datos!U18,(Datos!K18+Datos!AE18-(Datos!U18+Datos!AM18))/(Datos!U18+Datos!AM18))
     ),IF(D_I="SI",(Datos!K18-Datos!U18)/Datos!U18,(Datos!K18+Datos!AE18-(Datos!U18+Datos!AM18))/(Datos!U18+Datos!AM18))," - ")</f>
        <v>-6.4871878040869281E-4</v>
      </c>
      <c r="G18" s="354">
        <f>IF(ISNUMBER(
   IF(D_I="SI",(Datos!L18-Datos!V18)/Datos!V18,(Datos!L18+Datos!AF18-(Datos!V18+Datos!AN18))/(Datos!V18+Datos!AN18))
     ),IF(D_I="SI",(Datos!L18-Datos!V18)/Datos!V18,(Datos!L18+Datos!AF18-(Datos!V18+Datos!AN18))/(Datos!V18+Datos!AN18))," - ")</f>
        <v>0.22602739726027396</v>
      </c>
      <c r="H18" s="355">
        <f>IF(ISNUMBER((Datos!M18-Datos!W18)/Datos!W18),(Datos!M18-Datos!W18)/Datos!W18," - ")</f>
        <v>0.16158536585365854</v>
      </c>
      <c r="I18" s="356">
        <f>IF(ISNUMBER((Tasas!C18-Datos!BE18)/Datos!BE18),(Tasas!C18-Datos!BE18)/Datos!BE18," - ")</f>
        <v>0.22682326054963484</v>
      </c>
      <c r="J18" s="354">
        <f>IF(ISNUMBER((Tasas!D18-Datos!BF18)/Datos!BF18),(Tasas!D18-Datos!BF18)/Datos!BF18," - ")</f>
        <v>0.16233939724986352</v>
      </c>
      <c r="K18" s="357">
        <f>IF(ISNUMBER((Tasas!E18-Datos!BG18)/Datos!BG18),(Tasas!E18-Datos!BG18)/Datos!BG18," - ")</f>
        <v>7.8887544973239271E-2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0.10468660697275671</v>
      </c>
      <c r="E19" s="362">
        <f>IF(ISNUMBER(
   IF(J_V="SI",(Datos!J19-Datos!T19)/Datos!T19,(Datos!J19+Datos!Z19-(Datos!T19+Datos!AH19))/(Datos!T19+Datos!AH19))
     ),IF(J_V="SI",(Datos!J19-Datos!T19)/Datos!T19,(Datos!J19+Datos!Z19-(Datos!T19+Datos!AH19))/(Datos!T19+Datos!AH19))," - ")</f>
        <v>-0.13647384828541739</v>
      </c>
      <c r="F19" s="362">
        <f>IF(ISNUMBER(
   IF(J_V="SI",(Datos!K19-Datos!U19)/Datos!U19,(Datos!K19+Datos!AA19-(Datos!U19+Datos!AI19))/(Datos!U19+Datos!AI19))
     ),IF(J_V="SI",(Datos!K19-Datos!U19)/Datos!U19,(Datos!K19+Datos!AA19-(Datos!U19+Datos!AI19))/(Datos!U19+Datos!AI19))," - ")</f>
        <v>-5.1347881899871634E-2</v>
      </c>
      <c r="G19" s="363">
        <f>IF(ISNUMBER(
   IF(J_V="SI",(Datos!L19-Datos!V19)/Datos!V19,(Datos!L19+Datos!AB19-(Datos!V19+Datos!AJ19))/(Datos!V19+Datos!AJ19))
     ),IF(J_V="SI",(Datos!L19-Datos!V19)/Datos!V19,(Datos!L19+Datos!AB19-(Datos!V19+Datos!AJ19))/(Datos!V19+Datos!AJ19))," - ")</f>
        <v>4.4879380974055527E-2</v>
      </c>
      <c r="H19" s="364">
        <f>IF(ISNUMBER((Datos!M19-Datos!W19)/Datos!W19),(Datos!M19-Datos!W19)/Datos!W19," - ")</f>
        <v>0.10243277848911651</v>
      </c>
      <c r="I19" s="361">
        <f>IF(ISNUMBER((Tasas!C19-Datos!BE19)/Datos!BE19),(Tasas!C19-Datos!BE19)/Datos!BE19," - ")</f>
        <v>0.10143577507278641</v>
      </c>
      <c r="J19" s="362">
        <f>IF(ISNUMBER((Tasas!D19-Datos!BF19)/Datos!BF19),(Tasas!D19-Datos!BF19)/Datos!BF19," - ")</f>
        <v>-0.40679508609939241</v>
      </c>
      <c r="K19" s="363">
        <f>IF(ISNUMBER((Tasas!E19-Datos!BG19)/Datos!BG19),(Tasas!E19-Datos!BG19)/Datos!BG19," - ")</f>
        <v>7.4274295701092244E-2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6.9119789825370495E-2</v>
      </c>
      <c r="E21" s="277">
        <f t="shared" si="1"/>
        <v>7.378442742668366E-2</v>
      </c>
      <c r="F21" s="277">
        <f t="shared" si="1"/>
        <v>0.19658251738739141</v>
      </c>
      <c r="G21" s="278">
        <f t="shared" si="1"/>
        <v>2.0091422272784334E-2</v>
      </c>
      <c r="H21" s="284">
        <f t="shared" si="1"/>
        <v>0.31359916823070189</v>
      </c>
      <c r="I21" s="276">
        <f t="shared" si="1"/>
        <v>0.35161701133518636</v>
      </c>
      <c r="J21" s="277">
        <f t="shared" si="1"/>
        <v>0.33458183442971068</v>
      </c>
      <c r="K21" s="278">
        <f t="shared" si="1"/>
        <v>0.27307070939972422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DT3QTnTsXQdPne4SbkcwqoQ87kEaOvmGj5AMTphPzJ+lVsm7oHwcFeNuC8gPCMjS3KD3+r5eHZkwOnTtnZBrA==" saltValue="RKRphXkkG3uaVlEFLo+y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